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mite\Desktop\2010\2017\25.04.2017\"/>
    </mc:Choice>
  </mc:AlternateContent>
  <bookViews>
    <workbookView xWindow="0" yWindow="0" windowWidth="20490" windowHeight="7020"/>
  </bookViews>
  <sheets>
    <sheet name="2017.gada budzeta izpilde" sheetId="1" r:id="rId1"/>
    <sheet name="Spec_Budz_izpilde" sheetId="2" r:id="rId2"/>
  </sheets>
  <externalReferences>
    <externalReference r:id="rId3"/>
    <externalReference r:id="rId4"/>
    <externalReference r:id="rId5"/>
    <externalReference r:id="rId6"/>
    <externalReference r:id="rId7"/>
  </externalReferences>
  <definedNames>
    <definedName name="_xlnm._FilterDatabase" localSheetId="0" hidden="1">'2017.gada budzeta izpilde'!#REF!</definedName>
    <definedName name="Apmaksa" localSheetId="0">[1]Apmaksa!$A:$A</definedName>
    <definedName name="Apmaksa">[2]Apmaksa!$A$1:$A$65536</definedName>
    <definedName name="Darijums" localSheetId="0">[1]Darijums!$A:$A</definedName>
    <definedName name="Darijums">[2]Darijums!$A$1:$A$65536</definedName>
    <definedName name="_xlnm.Print_Area" localSheetId="0">'2017.gada budzeta izpilde'!$C$1:$AA$234</definedName>
    <definedName name="_xlnm.Print_Area" localSheetId="1">Spec_Budz_izpilde!$A:$G</definedName>
    <definedName name="_xlnm.Print_Titles" localSheetId="0">'2017.gada budzeta izpilde'!$5:$5</definedName>
    <definedName name="_xlnm.Print_Titles" localSheetId="1">Spec_Budz_izpilde!$11:$13</definedName>
    <definedName name="Excel_BuiltIn__FilterDatabase" localSheetId="0">[3]Groz_NIN_12_2014!#REF!</definedName>
    <definedName name="Excel_BuiltIn__FilterDatabase" localSheetId="1">[3]Groz_NIN_12_2014!#REF!</definedName>
    <definedName name="Excel_BuiltIn__FilterDatabase">[3]Groz_NIN_12_2014!#REF!</definedName>
    <definedName name="Excel_BuiltIn__FilterDatabase_1">Spec_Budz_izpilde!#REF!</definedName>
    <definedName name="Excel_BuiltIn_Print_Titles_1">Spec_Budz_izpilde!$A$11:$IL$13</definedName>
    <definedName name="Firmas" localSheetId="0">[1]Firma!$A:$A</definedName>
    <definedName name="Firmas">[2]Firma!$A$1:$A$65536</definedName>
    <definedName name="Parvadataji" localSheetId="0">[1]Ligumi!$A:$A</definedName>
    <definedName name="Parvadataji">[2]Ligumi!$A$1:$A$65536</definedName>
    <definedName name="Saist_apmers_ar_galvojumu">[2]Ligumi!$A$1:$A$65536</definedName>
    <definedName name="Z_1893421C_DBAA_4C10_AA6C_4D0F39122205_.wvu.FilterData" localSheetId="0">[3]Groz_NIN_12_2014!#REF!</definedName>
    <definedName name="Z_1893421C_DBAA_4C10_AA6C_4D0F39122205_.wvu.FilterData" localSheetId="1">[3]Groz_NIN_12_2014!#REF!</definedName>
    <definedName name="Z_1893421C_DBAA_4C10_AA6C_4D0F39122205_.wvu.FilterData">[3]Groz_NIN_12_2014!#REF!</definedName>
    <definedName name="Z_483F8D4B_D649_4D59_A67B_5E8B6C0D2E28_.wvu.FilterData" localSheetId="0">[3]Groz_NIN_12_2014!#REF!</definedName>
    <definedName name="Z_483F8D4B_D649_4D59_A67B_5E8B6C0D2E28_.wvu.FilterData" localSheetId="1">[3]Groz_NIN_12_2014!#REF!</definedName>
    <definedName name="Z_483F8D4B_D649_4D59_A67B_5E8B6C0D2E28_.wvu.FilterData">[3]Groz_NIN_12_2014!#REF!</definedName>
    <definedName name="Z_56A06D27_97E5_4D01_ADCE_F8E0A2A870EF_.wvu.FilterData" localSheetId="0">[3]Groz_NIN_12_2014!#REF!</definedName>
    <definedName name="Z_56A06D27_97E5_4D01_ADCE_F8E0A2A870EF_.wvu.FilterData" localSheetId="1">[3]Groz_NIN_12_2014!#REF!</definedName>
    <definedName name="Z_56A06D27_97E5_4D01_ADCE_F8E0A2A870EF_.wvu.FilterData">[3]Groz_NIN_12_2014!#REF!</definedName>
    <definedName name="Z_81EB1DB6_89AB_4045_90FA_EF2BA7E792F9_.wvu.FilterData" localSheetId="0">[3]Groz_NIN_12_2014!#REF!</definedName>
    <definedName name="Z_81EB1DB6_89AB_4045_90FA_EF2BA7E792F9_.wvu.FilterData" localSheetId="1">[3]Groz_NIN_12_2014!#REF!</definedName>
    <definedName name="Z_81EB1DB6_89AB_4045_90FA_EF2BA7E792F9_.wvu.FilterData">[3]Groz_NIN_12_2014!#REF!</definedName>
    <definedName name="Z_81EB1DB6_89AB_4045_90FA_EF2BA7E792F9_.wvu.PrintArea" localSheetId="0">[3]Groz_NIN_12_2014!#REF!</definedName>
    <definedName name="Z_81EB1DB6_89AB_4045_90FA_EF2BA7E792F9_.wvu.PrintArea" localSheetId="1">[3]Groz_NIN_12_2014!#REF!</definedName>
    <definedName name="Z_81EB1DB6_89AB_4045_90FA_EF2BA7E792F9_.wvu.PrintArea">[3]Groz_NIN_12_2014!#REF!</definedName>
    <definedName name="Z_8545B4E6_A517_4BD7_BFB7_42FEB5F229AD_.wvu.FilterData" localSheetId="0">[3]Groz_NIN_12_2014!#REF!</definedName>
    <definedName name="Z_8545B4E6_A517_4BD7_BFB7_42FEB5F229AD_.wvu.FilterData" localSheetId="1">[3]Groz_NIN_12_2014!#REF!</definedName>
    <definedName name="Z_8545B4E6_A517_4BD7_BFB7_42FEB5F229AD_.wvu.FilterData">[3]Groz_NIN_12_2014!#REF!</definedName>
    <definedName name="Z_877A1030_2452_46B0_88DF_8A068656C08E_.wvu.FilterData" localSheetId="0">[3]Groz_NIN_12_2014!#REF!</definedName>
    <definedName name="Z_877A1030_2452_46B0_88DF_8A068656C08E_.wvu.FilterData" localSheetId="1">[3]Groz_NIN_12_2014!#REF!</definedName>
    <definedName name="Z_877A1030_2452_46B0_88DF_8A068656C08E_.wvu.FilterData">[3]Groz_NIN_12_2014!#REF!</definedName>
    <definedName name="Z_ABD8A783_3A6C_4629_9559_1E4E89E80131_.wvu.FilterData" localSheetId="0">[3]Groz_NIN_12_2014!#REF!</definedName>
    <definedName name="Z_ABD8A783_3A6C_4629_9559_1E4E89E80131_.wvu.FilterData" localSheetId="1">[3]Groz_NIN_12_2014!#REF!</definedName>
    <definedName name="Z_ABD8A783_3A6C_4629_9559_1E4E89E80131_.wvu.FilterData">[3]Groz_NIN_12_2014!#REF!</definedName>
    <definedName name="Z_AF277C95_CBD9_4696_AC72_D010599E9831_.wvu.FilterData" localSheetId="0">[3]Groz_NIN_12_2014!#REF!</definedName>
    <definedName name="Z_AF277C95_CBD9_4696_AC72_D010599E9831_.wvu.FilterData" localSheetId="1">[3]Groz_NIN_12_2014!#REF!</definedName>
    <definedName name="Z_AF277C95_CBD9_4696_AC72_D010599E9831_.wvu.FilterData">[3]Groz_NIN_12_2014!#REF!</definedName>
    <definedName name="Z_B7CBCF06_FF41_423A_9AB3_E1D1F70C6FC5_.wvu.FilterData" localSheetId="0">[3]Groz_NIN_12_2014!#REF!</definedName>
    <definedName name="Z_B7CBCF06_FF41_423A_9AB3_E1D1F70C6FC5_.wvu.FilterData" localSheetId="1">[3]Groz_NIN_12_2014!#REF!</definedName>
    <definedName name="Z_B7CBCF06_FF41_423A_9AB3_E1D1F70C6FC5_.wvu.FilterData">[3]Groz_NIN_12_2014!#REF!</definedName>
    <definedName name="Z_C5511FB8_86C5_41F3_ADCD_B10310F066F5_.wvu.FilterData" localSheetId="0">[3]Groz_NIN_12_2014!#REF!</definedName>
    <definedName name="Z_C5511FB8_86C5_41F3_ADCD_B10310F066F5_.wvu.FilterData" localSheetId="1">[3]Groz_NIN_12_2014!#REF!</definedName>
    <definedName name="Z_C5511FB8_86C5_41F3_ADCD_B10310F066F5_.wvu.FilterData">[3]Groz_NIN_12_2014!#REF!</definedName>
    <definedName name="Z_DB8ECBD1_2D44_4F97_BCC9_F610BA0A3109_.wvu.FilterData" localSheetId="0">[3]Groz_NIN_12_2014!#REF!</definedName>
    <definedName name="Z_DB8ECBD1_2D44_4F97_BCC9_F610BA0A3109_.wvu.FilterData" localSheetId="1">[3]Groz_NIN_12_2014!#REF!</definedName>
    <definedName name="Z_DB8ECBD1_2D44_4F97_BCC9_F610BA0A3109_.wvu.FilterData">[3]Groz_NIN_12_2014!#REF!</definedName>
    <definedName name="Z_DEE3A27E_689A_4E9F_A3EB_C84F1E3B413E_.wvu.FilterData" localSheetId="0">[3]Groz_NIN_12_2014!#REF!</definedName>
    <definedName name="Z_DEE3A27E_689A_4E9F_A3EB_C84F1E3B413E_.wvu.FilterData" localSheetId="1">[3]Groz_NIN_12_2014!#REF!</definedName>
    <definedName name="Z_DEE3A27E_689A_4E9F_A3EB_C84F1E3B413E_.wvu.FilterData">[3]Groz_NIN_12_2014!#REF!</definedName>
    <definedName name="Z_F1F489B9_0F61_4F1F_A151_75EF77465344_.wvu.Cols" localSheetId="0">[3]Groz_NIN_12_2014!#REF!</definedName>
    <definedName name="Z_F1F489B9_0F61_4F1F_A151_75EF77465344_.wvu.Cols" localSheetId="1">[3]Groz_NIN_12_2014!#REF!</definedName>
    <definedName name="Z_F1F489B9_0F61_4F1F_A151_75EF77465344_.wvu.Cols">[3]Groz_NIN_12_2014!#REF!</definedName>
    <definedName name="Z_F1F489B9_0F61_4F1F_A151_75EF77465344_.wvu.FilterData" localSheetId="0">[3]Groz_NIN_12_2014!#REF!</definedName>
    <definedName name="Z_F1F489B9_0F61_4F1F_A151_75EF77465344_.wvu.FilterData" localSheetId="1">[3]Groz_NIN_12_2014!#REF!</definedName>
    <definedName name="Z_F1F489B9_0F61_4F1F_A151_75EF77465344_.wvu.FilterData">[3]Groz_NIN_12_2014!#REF!</definedName>
    <definedName name="Z_F1F489B9_0F61_4F1F_A151_75EF77465344_.wvu.PrintArea" localSheetId="0">[3]Groz_NIN_12_2014!#REF!</definedName>
    <definedName name="Z_F1F489B9_0F61_4F1F_A151_75EF77465344_.wvu.PrintArea" localSheetId="1">[3]Groz_NIN_12_2014!#REF!</definedName>
    <definedName name="Z_F1F489B9_0F61_4F1F_A151_75EF77465344_.wvu.PrintArea">[3]Groz_NIN_12_2014!#REF!</definedName>
    <definedName name="Z_F1F489B9_0F61_4F1F_A151_75EF77465344_.wvu.PrintTitles" localSheetId="0">[3]Groz_NIN_12_2014!#REF!</definedName>
    <definedName name="Z_F1F489B9_0F61_4F1F_A151_75EF77465344_.wvu.PrintTitles" localSheetId="1">[3]Groz_NIN_12_2014!#REF!</definedName>
    <definedName name="Z_F1F489B9_0F61_4F1F_A151_75EF77465344_.wvu.PrintTitles">[3]Groz_NIN_12_2014!#REF!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26" i="2" l="1"/>
  <c r="C1026" i="2"/>
  <c r="E1025" i="2"/>
  <c r="D1025" i="2"/>
  <c r="E1024" i="2"/>
  <c r="D1024" i="2"/>
  <c r="E1023" i="2"/>
  <c r="D1020" i="2"/>
  <c r="E1019" i="2"/>
  <c r="D1019" i="2"/>
  <c r="E1018" i="2"/>
  <c r="D1018" i="2"/>
  <c r="E1017" i="2"/>
  <c r="Y232" i="1" l="1"/>
  <c r="Z232" i="1" s="1"/>
  <c r="V232" i="1"/>
  <c r="W232" i="1" s="1"/>
  <c r="T232" i="1"/>
  <c r="S232" i="1"/>
  <c r="P232" i="1"/>
  <c r="M232" i="1"/>
  <c r="L232" i="1"/>
  <c r="H232" i="1"/>
  <c r="G232" i="1"/>
  <c r="N232" i="1" s="1"/>
  <c r="F232" i="1"/>
  <c r="E232" i="1"/>
  <c r="Z231" i="1"/>
  <c r="W231" i="1"/>
  <c r="T231" i="1"/>
  <c r="L231" i="1"/>
  <c r="J231" i="1"/>
  <c r="M231" i="1" s="1"/>
  <c r="Z229" i="1"/>
  <c r="W229" i="1"/>
  <c r="T229" i="1"/>
  <c r="L229" i="1"/>
  <c r="M229" i="1" s="1"/>
  <c r="Z228" i="1"/>
  <c r="W228" i="1"/>
  <c r="T228" i="1"/>
  <c r="M228" i="1"/>
  <c r="L228" i="1"/>
  <c r="E228" i="1"/>
  <c r="Z227" i="1"/>
  <c r="W227" i="1"/>
  <c r="T227" i="1"/>
  <c r="Q227" i="1"/>
  <c r="N227" i="1"/>
  <c r="O227" i="1" s="1"/>
  <c r="Z226" i="1"/>
  <c r="W226" i="1"/>
  <c r="T226" i="1"/>
  <c r="Q226" i="1"/>
  <c r="O226" i="1"/>
  <c r="N226" i="1"/>
  <c r="Y225" i="1"/>
  <c r="V225" i="1"/>
  <c r="Z225" i="1" s="1"/>
  <c r="T225" i="1"/>
  <c r="S225" i="1"/>
  <c r="P225" i="1"/>
  <c r="J225" i="1"/>
  <c r="I225" i="1"/>
  <c r="H225" i="1"/>
  <c r="G225" i="1"/>
  <c r="F225" i="1"/>
  <c r="E225" i="1"/>
  <c r="Z224" i="1"/>
  <c r="W224" i="1"/>
  <c r="T224" i="1"/>
  <c r="M224" i="1"/>
  <c r="L224" i="1"/>
  <c r="W223" i="1"/>
  <c r="T223" i="1"/>
  <c r="L223" i="1"/>
  <c r="M223" i="1" s="1"/>
  <c r="N223" i="1" s="1"/>
  <c r="O223" i="1" s="1"/>
  <c r="Z222" i="1"/>
  <c r="W222" i="1"/>
  <c r="T222" i="1"/>
  <c r="L222" i="1"/>
  <c r="M222" i="1" s="1"/>
  <c r="F222" i="1"/>
  <c r="Z221" i="1"/>
  <c r="W221" i="1"/>
  <c r="T221" i="1"/>
  <c r="L221" i="1"/>
  <c r="E221" i="1"/>
  <c r="Z220" i="1"/>
  <c r="W220" i="1"/>
  <c r="T220" i="1"/>
  <c r="N220" i="1"/>
  <c r="M220" i="1"/>
  <c r="Q220" i="1" s="1"/>
  <c r="Z219" i="1"/>
  <c r="W219" i="1"/>
  <c r="T219" i="1"/>
  <c r="N219" i="1"/>
  <c r="M219" i="1"/>
  <c r="Q219" i="1" s="1"/>
  <c r="Z218" i="1"/>
  <c r="W218" i="1"/>
  <c r="T218" i="1"/>
  <c r="J218" i="1"/>
  <c r="M218" i="1" s="1"/>
  <c r="E218" i="1"/>
  <c r="Z217" i="1"/>
  <c r="W217" i="1"/>
  <c r="T217" i="1"/>
  <c r="I217" i="1"/>
  <c r="M217" i="1" s="1"/>
  <c r="E217" i="1"/>
  <c r="E216" i="1" s="1"/>
  <c r="Z216" i="1"/>
  <c r="W216" i="1"/>
  <c r="T216" i="1"/>
  <c r="I216" i="1"/>
  <c r="M216" i="1" s="1"/>
  <c r="Z215" i="1"/>
  <c r="W215" i="1"/>
  <c r="T215" i="1"/>
  <c r="J215" i="1"/>
  <c r="J214" i="1" s="1"/>
  <c r="I215" i="1"/>
  <c r="I214" i="1" s="1"/>
  <c r="H215" i="1"/>
  <c r="E215" i="1"/>
  <c r="Z214" i="1"/>
  <c r="Y214" i="1"/>
  <c r="V214" i="1"/>
  <c r="T214" i="1"/>
  <c r="S214" i="1"/>
  <c r="W214" i="1" s="1"/>
  <c r="P214" i="1"/>
  <c r="H214" i="1"/>
  <c r="G214" i="1"/>
  <c r="F214" i="1"/>
  <c r="E214" i="1"/>
  <c r="W213" i="1"/>
  <c r="T213" i="1"/>
  <c r="M213" i="1"/>
  <c r="Q213" i="1" s="1"/>
  <c r="E213" i="1"/>
  <c r="Z212" i="1"/>
  <c r="W212" i="1"/>
  <c r="T212" i="1"/>
  <c r="L212" i="1"/>
  <c r="L208" i="1" s="1"/>
  <c r="E212" i="1"/>
  <c r="Z211" i="1"/>
  <c r="W211" i="1"/>
  <c r="T211" i="1"/>
  <c r="Q211" i="1"/>
  <c r="N211" i="1"/>
  <c r="M211" i="1"/>
  <c r="E211" i="1"/>
  <c r="Z210" i="1"/>
  <c r="W210" i="1"/>
  <c r="T210" i="1"/>
  <c r="E210" i="1"/>
  <c r="E209" i="1" s="1"/>
  <c r="Z209" i="1"/>
  <c r="W209" i="1"/>
  <c r="T209" i="1"/>
  <c r="H209" i="1"/>
  <c r="Y208" i="1"/>
  <c r="V208" i="1"/>
  <c r="S208" i="1"/>
  <c r="P208" i="1"/>
  <c r="J208" i="1"/>
  <c r="H208" i="1"/>
  <c r="G208" i="1"/>
  <c r="F208" i="1"/>
  <c r="E208" i="1"/>
  <c r="Z207" i="1"/>
  <c r="W207" i="1"/>
  <c r="T207" i="1"/>
  <c r="W206" i="1"/>
  <c r="T206" i="1"/>
  <c r="M206" i="1"/>
  <c r="F206" i="1"/>
  <c r="Z205" i="1"/>
  <c r="W205" i="1"/>
  <c r="T205" i="1"/>
  <c r="J205" i="1"/>
  <c r="J201" i="1" s="1"/>
  <c r="H205" i="1"/>
  <c r="L205" i="1" s="1"/>
  <c r="W204" i="1"/>
  <c r="V204" i="1"/>
  <c r="Z204" i="1" s="1"/>
  <c r="S204" i="1"/>
  <c r="P204" i="1"/>
  <c r="T204" i="1" s="1"/>
  <c r="L204" i="1"/>
  <c r="F204" i="1"/>
  <c r="F201" i="1" s="1"/>
  <c r="Z203" i="1"/>
  <c r="W203" i="1"/>
  <c r="T203" i="1"/>
  <c r="I203" i="1"/>
  <c r="H203" i="1"/>
  <c r="Z202" i="1"/>
  <c r="W202" i="1"/>
  <c r="T202" i="1"/>
  <c r="H202" i="1"/>
  <c r="Y201" i="1"/>
  <c r="W201" i="1"/>
  <c r="V201" i="1"/>
  <c r="S201" i="1"/>
  <c r="P201" i="1"/>
  <c r="T201" i="1" s="1"/>
  <c r="K201" i="1"/>
  <c r="G201" i="1"/>
  <c r="E201" i="1"/>
  <c r="Z200" i="1"/>
  <c r="W200" i="1"/>
  <c r="T200" i="1"/>
  <c r="L200" i="1"/>
  <c r="G200" i="1"/>
  <c r="Z199" i="1"/>
  <c r="W199" i="1"/>
  <c r="T199" i="1"/>
  <c r="M199" i="1"/>
  <c r="Q199" i="1" s="1"/>
  <c r="L199" i="1"/>
  <c r="H199" i="1"/>
  <c r="G199" i="1"/>
  <c r="G198" i="1" s="1"/>
  <c r="Y198" i="1"/>
  <c r="Z198" i="1" s="1"/>
  <c r="V198" i="1"/>
  <c r="S198" i="1"/>
  <c r="P198" i="1"/>
  <c r="I198" i="1"/>
  <c r="H198" i="1"/>
  <c r="F198" i="1"/>
  <c r="E198" i="1"/>
  <c r="W197" i="1"/>
  <c r="T197" i="1"/>
  <c r="M197" i="1"/>
  <c r="W196" i="1"/>
  <c r="T196" i="1"/>
  <c r="N196" i="1"/>
  <c r="M196" i="1"/>
  <c r="Q196" i="1" s="1"/>
  <c r="W195" i="1"/>
  <c r="T195" i="1"/>
  <c r="M195" i="1"/>
  <c r="Q195" i="1" s="1"/>
  <c r="E195" i="1"/>
  <c r="Z194" i="1"/>
  <c r="W194" i="1"/>
  <c r="T194" i="1"/>
  <c r="N194" i="1"/>
  <c r="M194" i="1"/>
  <c r="Q194" i="1" s="1"/>
  <c r="E194" i="1"/>
  <c r="Z193" i="1"/>
  <c r="W193" i="1"/>
  <c r="T193" i="1"/>
  <c r="M193" i="1"/>
  <c r="E193" i="1"/>
  <c r="Z192" i="1"/>
  <c r="W192" i="1"/>
  <c r="T192" i="1"/>
  <c r="Q192" i="1"/>
  <c r="N192" i="1"/>
  <c r="M192" i="1"/>
  <c r="E192" i="1"/>
  <c r="E191" i="1" s="1"/>
  <c r="Z191" i="1"/>
  <c r="W191" i="1"/>
  <c r="T191" i="1"/>
  <c r="L191" i="1"/>
  <c r="L186" i="1" s="1"/>
  <c r="J191" i="1"/>
  <c r="Z190" i="1"/>
  <c r="W190" i="1"/>
  <c r="T190" i="1"/>
  <c r="Q190" i="1"/>
  <c r="M190" i="1"/>
  <c r="N190" i="1" s="1"/>
  <c r="E190" i="1"/>
  <c r="Z189" i="1"/>
  <c r="W189" i="1"/>
  <c r="T189" i="1"/>
  <c r="Q189" i="1"/>
  <c r="N189" i="1"/>
  <c r="M189" i="1"/>
  <c r="E189" i="1"/>
  <c r="Z188" i="1"/>
  <c r="W188" i="1"/>
  <c r="T188" i="1"/>
  <c r="M188" i="1"/>
  <c r="Q188" i="1" s="1"/>
  <c r="E188" i="1"/>
  <c r="Z187" i="1"/>
  <c r="W187" i="1"/>
  <c r="T187" i="1"/>
  <c r="M187" i="1"/>
  <c r="J187" i="1"/>
  <c r="I187" i="1"/>
  <c r="E187" i="1"/>
  <c r="Z186" i="1"/>
  <c r="Y186" i="1"/>
  <c r="V186" i="1"/>
  <c r="S186" i="1"/>
  <c r="P186" i="1"/>
  <c r="P173" i="1" s="1"/>
  <c r="I186" i="1"/>
  <c r="G186" i="1"/>
  <c r="F186" i="1"/>
  <c r="E186" i="1"/>
  <c r="Z185" i="1"/>
  <c r="W185" i="1"/>
  <c r="T185" i="1"/>
  <c r="Q185" i="1"/>
  <c r="N185" i="1"/>
  <c r="W184" i="1"/>
  <c r="T184" i="1"/>
  <c r="Q184" i="1"/>
  <c r="M184" i="1"/>
  <c r="N184" i="1" s="1"/>
  <c r="E184" i="1"/>
  <c r="Z183" i="1"/>
  <c r="W183" i="1"/>
  <c r="T183" i="1"/>
  <c r="N183" i="1"/>
  <c r="M183" i="1"/>
  <c r="Q183" i="1" s="1"/>
  <c r="E183" i="1"/>
  <c r="Z182" i="1"/>
  <c r="W182" i="1"/>
  <c r="T182" i="1"/>
  <c r="M182" i="1"/>
  <c r="E182" i="1"/>
  <c r="Z181" i="1"/>
  <c r="W181" i="1"/>
  <c r="T181" i="1"/>
  <c r="N181" i="1"/>
  <c r="M181" i="1"/>
  <c r="Q181" i="1" s="1"/>
  <c r="E181" i="1"/>
  <c r="Z180" i="1"/>
  <c r="W180" i="1"/>
  <c r="T180" i="1"/>
  <c r="L180" i="1"/>
  <c r="J180" i="1"/>
  <c r="E180" i="1"/>
  <c r="Z179" i="1"/>
  <c r="W179" i="1"/>
  <c r="T179" i="1"/>
  <c r="Q179" i="1"/>
  <c r="M179" i="1"/>
  <c r="N179" i="1" s="1"/>
  <c r="E179" i="1"/>
  <c r="Z178" i="1"/>
  <c r="W178" i="1"/>
  <c r="T178" i="1"/>
  <c r="J178" i="1"/>
  <c r="E178" i="1"/>
  <c r="E176" i="1" s="1"/>
  <c r="Z177" i="1"/>
  <c r="W177" i="1"/>
  <c r="T177" i="1"/>
  <c r="Q177" i="1"/>
  <c r="N177" i="1"/>
  <c r="M177" i="1"/>
  <c r="E177" i="1"/>
  <c r="Z176" i="1"/>
  <c r="W176" i="1"/>
  <c r="T176" i="1"/>
  <c r="I176" i="1"/>
  <c r="I175" i="1" s="1"/>
  <c r="Z175" i="1"/>
  <c r="Y175" i="1"/>
  <c r="V175" i="1"/>
  <c r="S175" i="1"/>
  <c r="T175" i="1" s="1"/>
  <c r="P175" i="1"/>
  <c r="L175" i="1"/>
  <c r="H175" i="1"/>
  <c r="G175" i="1"/>
  <c r="G173" i="1" s="1"/>
  <c r="F175" i="1"/>
  <c r="F173" i="1" s="1"/>
  <c r="E175" i="1"/>
  <c r="Z174" i="1"/>
  <c r="W174" i="1"/>
  <c r="T174" i="1"/>
  <c r="L174" i="1"/>
  <c r="M174" i="1" s="1"/>
  <c r="Y173" i="1"/>
  <c r="Z172" i="1"/>
  <c r="W172" i="1"/>
  <c r="T172" i="1"/>
  <c r="L172" i="1"/>
  <c r="M172" i="1" s="1"/>
  <c r="Q172" i="1" s="1"/>
  <c r="G172" i="1"/>
  <c r="G165" i="1" s="1"/>
  <c r="F172" i="1"/>
  <c r="E172" i="1"/>
  <c r="Z171" i="1"/>
  <c r="W171" i="1"/>
  <c r="T171" i="1"/>
  <c r="I171" i="1"/>
  <c r="H171" i="1"/>
  <c r="H169" i="1" s="1"/>
  <c r="Z170" i="1"/>
  <c r="W170" i="1"/>
  <c r="T170" i="1"/>
  <c r="M170" i="1"/>
  <c r="Y169" i="1"/>
  <c r="Z169" i="1" s="1"/>
  <c r="V169" i="1"/>
  <c r="S169" i="1"/>
  <c r="P169" i="1"/>
  <c r="L169" i="1"/>
  <c r="J169" i="1"/>
  <c r="G169" i="1"/>
  <c r="F169" i="1"/>
  <c r="Z168" i="1"/>
  <c r="W168" i="1"/>
  <c r="T168" i="1"/>
  <c r="N168" i="1"/>
  <c r="I168" i="1"/>
  <c r="M168" i="1" s="1"/>
  <c r="Q168" i="1" s="1"/>
  <c r="Z167" i="1"/>
  <c r="W167" i="1"/>
  <c r="T167" i="1"/>
  <c r="L167" i="1"/>
  <c r="M167" i="1" s="1"/>
  <c r="M166" i="1" s="1"/>
  <c r="N166" i="1" s="1"/>
  <c r="O166" i="1" s="1"/>
  <c r="G167" i="1"/>
  <c r="G166" i="1" s="1"/>
  <c r="Y166" i="1"/>
  <c r="V166" i="1"/>
  <c r="S166" i="1"/>
  <c r="P166" i="1"/>
  <c r="L166" i="1"/>
  <c r="L165" i="1" s="1"/>
  <c r="J166" i="1"/>
  <c r="F166" i="1"/>
  <c r="E166" i="1"/>
  <c r="E165" i="1" s="1"/>
  <c r="H165" i="1"/>
  <c r="F165" i="1"/>
  <c r="Z164" i="1"/>
  <c r="W164" i="1"/>
  <c r="T164" i="1"/>
  <c r="M164" i="1"/>
  <c r="L164" i="1"/>
  <c r="Z163" i="1"/>
  <c r="W163" i="1"/>
  <c r="T163" i="1"/>
  <c r="L163" i="1"/>
  <c r="M163" i="1" s="1"/>
  <c r="Q163" i="1" s="1"/>
  <c r="E163" i="1"/>
  <c r="Z162" i="1"/>
  <c r="W162" i="1"/>
  <c r="T162" i="1"/>
  <c r="L162" i="1"/>
  <c r="M162" i="1" s="1"/>
  <c r="Q162" i="1" s="1"/>
  <c r="F162" i="1"/>
  <c r="Z161" i="1"/>
  <c r="W161" i="1"/>
  <c r="T161" i="1"/>
  <c r="Q161" i="1"/>
  <c r="O161" i="1"/>
  <c r="M161" i="1"/>
  <c r="N161" i="1" s="1"/>
  <c r="Z160" i="1"/>
  <c r="W160" i="1"/>
  <c r="T160" i="1"/>
  <c r="N160" i="1"/>
  <c r="O160" i="1" s="1"/>
  <c r="M160" i="1"/>
  <c r="Q160" i="1" s="1"/>
  <c r="Z159" i="1"/>
  <c r="W159" i="1"/>
  <c r="T159" i="1"/>
  <c r="N159" i="1"/>
  <c r="O159" i="1" s="1"/>
  <c r="M159" i="1"/>
  <c r="Q159" i="1" s="1"/>
  <c r="Z158" i="1"/>
  <c r="W158" i="1"/>
  <c r="T158" i="1"/>
  <c r="M158" i="1"/>
  <c r="N158" i="1" s="1"/>
  <c r="O158" i="1" s="1"/>
  <c r="Z157" i="1"/>
  <c r="W157" i="1"/>
  <c r="T157" i="1"/>
  <c r="L157" i="1"/>
  <c r="F157" i="1"/>
  <c r="E157" i="1"/>
  <c r="Z156" i="1"/>
  <c r="W156" i="1"/>
  <c r="T156" i="1"/>
  <c r="N156" i="1"/>
  <c r="O156" i="1" s="1"/>
  <c r="M156" i="1"/>
  <c r="Q156" i="1" s="1"/>
  <c r="L156" i="1"/>
  <c r="E156" i="1"/>
  <c r="Z155" i="1"/>
  <c r="W155" i="1"/>
  <c r="T155" i="1"/>
  <c r="L155" i="1"/>
  <c r="I155" i="1"/>
  <c r="F155" i="1"/>
  <c r="E155" i="1"/>
  <c r="Y154" i="1"/>
  <c r="V154" i="1"/>
  <c r="T154" i="1"/>
  <c r="S154" i="1"/>
  <c r="P154" i="1"/>
  <c r="K154" i="1"/>
  <c r="J154" i="1"/>
  <c r="H154" i="1"/>
  <c r="G154" i="1"/>
  <c r="F154" i="1"/>
  <c r="W153" i="1"/>
  <c r="T153" i="1"/>
  <c r="Q153" i="1"/>
  <c r="W152" i="1"/>
  <c r="T152" i="1"/>
  <c r="M152" i="1"/>
  <c r="Q152" i="1" s="1"/>
  <c r="Z151" i="1"/>
  <c r="W151" i="1"/>
  <c r="T151" i="1"/>
  <c r="Z150" i="1"/>
  <c r="W150" i="1"/>
  <c r="T150" i="1"/>
  <c r="Z149" i="1"/>
  <c r="W149" i="1"/>
  <c r="T149" i="1"/>
  <c r="K149" i="1"/>
  <c r="L149" i="1" s="1"/>
  <c r="Y148" i="1"/>
  <c r="V148" i="1"/>
  <c r="W148" i="1" s="1"/>
  <c r="T148" i="1"/>
  <c r="L148" i="1"/>
  <c r="M148" i="1" s="1"/>
  <c r="Y147" i="1"/>
  <c r="S147" i="1"/>
  <c r="P147" i="1"/>
  <c r="I147" i="1"/>
  <c r="H147" i="1"/>
  <c r="G147" i="1"/>
  <c r="F147" i="1"/>
  <c r="E147" i="1"/>
  <c r="Z146" i="1"/>
  <c r="W146" i="1"/>
  <c r="T146" i="1"/>
  <c r="W145" i="1"/>
  <c r="T145" i="1"/>
  <c r="Z144" i="1"/>
  <c r="W144" i="1"/>
  <c r="T144" i="1"/>
  <c r="Z143" i="1"/>
  <c r="W143" i="1"/>
  <c r="T143" i="1"/>
  <c r="Z142" i="1"/>
  <c r="W142" i="1"/>
  <c r="T142" i="1"/>
  <c r="Z141" i="1"/>
  <c r="W141" i="1"/>
  <c r="T141" i="1"/>
  <c r="M141" i="1"/>
  <c r="Q141" i="1" s="1"/>
  <c r="Z140" i="1"/>
  <c r="W140" i="1"/>
  <c r="T140" i="1"/>
  <c r="M140" i="1"/>
  <c r="N140" i="1" s="1"/>
  <c r="E140" i="1"/>
  <c r="Z139" i="1"/>
  <c r="W139" i="1"/>
  <c r="T139" i="1"/>
  <c r="M139" i="1"/>
  <c r="Q139" i="1" s="1"/>
  <c r="F139" i="1"/>
  <c r="Z138" i="1"/>
  <c r="W138" i="1"/>
  <c r="T138" i="1"/>
  <c r="N138" i="1"/>
  <c r="M138" i="1"/>
  <c r="Q138" i="1" s="1"/>
  <c r="Z137" i="1"/>
  <c r="W137" i="1"/>
  <c r="T137" i="1"/>
  <c r="M137" i="1"/>
  <c r="N137" i="1" s="1"/>
  <c r="F137" i="1"/>
  <c r="Z136" i="1"/>
  <c r="W136" i="1"/>
  <c r="T136" i="1"/>
  <c r="M136" i="1"/>
  <c r="L136" i="1"/>
  <c r="Z135" i="1"/>
  <c r="W135" i="1"/>
  <c r="T135" i="1"/>
  <c r="F135" i="1"/>
  <c r="E135" i="1"/>
  <c r="Y134" i="1"/>
  <c r="W134" i="1"/>
  <c r="V134" i="1"/>
  <c r="S134" i="1"/>
  <c r="T134" i="1" s="1"/>
  <c r="P134" i="1"/>
  <c r="I134" i="1"/>
  <c r="I132" i="1" s="1"/>
  <c r="H134" i="1"/>
  <c r="G134" i="1"/>
  <c r="E134" i="1"/>
  <c r="W133" i="1"/>
  <c r="V133" i="1"/>
  <c r="S133" i="1"/>
  <c r="P133" i="1"/>
  <c r="T133" i="1" s="1"/>
  <c r="L133" i="1"/>
  <c r="E133" i="1"/>
  <c r="Y132" i="1"/>
  <c r="S132" i="1"/>
  <c r="G132" i="1"/>
  <c r="Z131" i="1"/>
  <c r="W131" i="1"/>
  <c r="T131" i="1"/>
  <c r="L131" i="1"/>
  <c r="M131" i="1" s="1"/>
  <c r="E131" i="1"/>
  <c r="Z130" i="1"/>
  <c r="W130" i="1"/>
  <c r="T130" i="1"/>
  <c r="L130" i="1"/>
  <c r="H130" i="1"/>
  <c r="F130" i="1"/>
  <c r="G130" i="1" s="1"/>
  <c r="E130" i="1"/>
  <c r="Z129" i="1"/>
  <c r="W129" i="1"/>
  <c r="T129" i="1"/>
  <c r="M129" i="1"/>
  <c r="Q129" i="1" s="1"/>
  <c r="G129" i="1"/>
  <c r="Z128" i="1"/>
  <c r="W128" i="1"/>
  <c r="T128" i="1"/>
  <c r="L128" i="1"/>
  <c r="J128" i="1"/>
  <c r="I128" i="1"/>
  <c r="M128" i="1" s="1"/>
  <c r="F128" i="1"/>
  <c r="E128" i="1"/>
  <c r="Z127" i="1"/>
  <c r="W127" i="1"/>
  <c r="T127" i="1"/>
  <c r="L127" i="1"/>
  <c r="M127" i="1" s="1"/>
  <c r="Y126" i="1"/>
  <c r="V126" i="1"/>
  <c r="W126" i="1" s="1"/>
  <c r="S126" i="1"/>
  <c r="T126" i="1" s="1"/>
  <c r="P126" i="1"/>
  <c r="K126" i="1"/>
  <c r="J126" i="1"/>
  <c r="I126" i="1"/>
  <c r="H126" i="1"/>
  <c r="G126" i="1"/>
  <c r="F126" i="1"/>
  <c r="E126" i="1"/>
  <c r="V125" i="1"/>
  <c r="W125" i="1" s="1"/>
  <c r="S125" i="1"/>
  <c r="T125" i="1" s="1"/>
  <c r="P125" i="1"/>
  <c r="Q125" i="1" s="1"/>
  <c r="M125" i="1"/>
  <c r="L125" i="1"/>
  <c r="H125" i="1"/>
  <c r="G125" i="1"/>
  <c r="N125" i="1" s="1"/>
  <c r="O125" i="1" s="1"/>
  <c r="F125" i="1"/>
  <c r="E125" i="1"/>
  <c r="Z124" i="1"/>
  <c r="W124" i="1"/>
  <c r="T124" i="1"/>
  <c r="M124" i="1"/>
  <c r="L124" i="1"/>
  <c r="G124" i="1"/>
  <c r="F124" i="1"/>
  <c r="Z123" i="1"/>
  <c r="W123" i="1"/>
  <c r="T123" i="1"/>
  <c r="L123" i="1"/>
  <c r="M123" i="1" s="1"/>
  <c r="Z122" i="1"/>
  <c r="W122" i="1"/>
  <c r="T122" i="1"/>
  <c r="M122" i="1"/>
  <c r="L122" i="1"/>
  <c r="F122" i="1"/>
  <c r="Z121" i="1"/>
  <c r="W121" i="1"/>
  <c r="T121" i="1"/>
  <c r="L121" i="1"/>
  <c r="M121" i="1" s="1"/>
  <c r="Q121" i="1" s="1"/>
  <c r="Z120" i="1"/>
  <c r="W120" i="1"/>
  <c r="T120" i="1"/>
  <c r="L120" i="1"/>
  <c r="M120" i="1" s="1"/>
  <c r="Q120" i="1" s="1"/>
  <c r="Z119" i="1"/>
  <c r="W119" i="1"/>
  <c r="T119" i="1"/>
  <c r="L119" i="1"/>
  <c r="M119" i="1" s="1"/>
  <c r="Q119" i="1" s="1"/>
  <c r="Z118" i="1"/>
  <c r="W118" i="1"/>
  <c r="T118" i="1"/>
  <c r="L118" i="1"/>
  <c r="M118" i="1" s="1"/>
  <c r="E118" i="1"/>
  <c r="Z117" i="1"/>
  <c r="W117" i="1"/>
  <c r="T117" i="1"/>
  <c r="O117" i="1"/>
  <c r="M117" i="1"/>
  <c r="N117" i="1" s="1"/>
  <c r="L117" i="1"/>
  <c r="F117" i="1"/>
  <c r="E117" i="1"/>
  <c r="Y116" i="1"/>
  <c r="W116" i="1"/>
  <c r="T116" i="1"/>
  <c r="M116" i="1"/>
  <c r="L116" i="1"/>
  <c r="G116" i="1"/>
  <c r="G115" i="1" s="1"/>
  <c r="F116" i="1"/>
  <c r="E116" i="1"/>
  <c r="E115" i="1" s="1"/>
  <c r="V115" i="1"/>
  <c r="W115" i="1" s="1"/>
  <c r="T115" i="1"/>
  <c r="S115" i="1"/>
  <c r="P115" i="1"/>
  <c r="K115" i="1"/>
  <c r="J115" i="1"/>
  <c r="I115" i="1"/>
  <c r="H115" i="1"/>
  <c r="V108" i="1"/>
  <c r="T108" i="1"/>
  <c r="Q108" i="1"/>
  <c r="N108" i="1"/>
  <c r="Z107" i="1"/>
  <c r="W107" i="1"/>
  <c r="T107" i="1"/>
  <c r="K107" i="1"/>
  <c r="K151" i="1" s="1"/>
  <c r="L151" i="1" s="1"/>
  <c r="Z106" i="1"/>
  <c r="W106" i="1"/>
  <c r="T106" i="1"/>
  <c r="K106" i="1"/>
  <c r="W105" i="1"/>
  <c r="T105" i="1"/>
  <c r="K105" i="1"/>
  <c r="K145" i="1" s="1"/>
  <c r="Z104" i="1"/>
  <c r="W104" i="1"/>
  <c r="T104" i="1"/>
  <c r="K104" i="1"/>
  <c r="K144" i="1" s="1"/>
  <c r="Z103" i="1"/>
  <c r="W103" i="1"/>
  <c r="T103" i="1"/>
  <c r="K103" i="1"/>
  <c r="Z102" i="1"/>
  <c r="W102" i="1"/>
  <c r="T102" i="1"/>
  <c r="M102" i="1"/>
  <c r="N102" i="1" s="1"/>
  <c r="K102" i="1"/>
  <c r="K142" i="1" s="1"/>
  <c r="Z101" i="1"/>
  <c r="W101" i="1"/>
  <c r="T101" i="1"/>
  <c r="K101" i="1"/>
  <c r="K207" i="1" s="1"/>
  <c r="K173" i="1" s="1"/>
  <c r="W100" i="1"/>
  <c r="T100" i="1"/>
  <c r="N100" i="1"/>
  <c r="M100" i="1"/>
  <c r="Q100" i="1" s="1"/>
  <c r="V99" i="1"/>
  <c r="Z99" i="1" s="1"/>
  <c r="S99" i="1"/>
  <c r="N99" i="1"/>
  <c r="M99" i="1"/>
  <c r="Q99" i="1" s="1"/>
  <c r="Y98" i="1"/>
  <c r="P98" i="1"/>
  <c r="J98" i="1"/>
  <c r="J96" i="1" s="1"/>
  <c r="I98" i="1"/>
  <c r="I96" i="1" s="1"/>
  <c r="G98" i="1"/>
  <c r="F98" i="1"/>
  <c r="F96" i="1" s="1"/>
  <c r="E98" i="1"/>
  <c r="E96" i="1" s="1"/>
  <c r="Z97" i="1"/>
  <c r="W97" i="1"/>
  <c r="T97" i="1"/>
  <c r="Q97" i="1"/>
  <c r="N97" i="1"/>
  <c r="Y96" i="1"/>
  <c r="P96" i="1"/>
  <c r="L96" i="1"/>
  <c r="H96" i="1"/>
  <c r="G96" i="1"/>
  <c r="V95" i="1"/>
  <c r="W95" i="1" s="1"/>
  <c r="S95" i="1"/>
  <c r="P95" i="1"/>
  <c r="L95" i="1"/>
  <c r="L93" i="1" s="1"/>
  <c r="Z94" i="1"/>
  <c r="Y94" i="1"/>
  <c r="W94" i="1"/>
  <c r="T94" i="1"/>
  <c r="Y93" i="1"/>
  <c r="G93" i="1"/>
  <c r="F93" i="1"/>
  <c r="E93" i="1"/>
  <c r="V91" i="1"/>
  <c r="Z91" i="1" s="1"/>
  <c r="S91" i="1"/>
  <c r="T91" i="1" s="1"/>
  <c r="P91" i="1"/>
  <c r="Q91" i="1" s="1"/>
  <c r="M91" i="1"/>
  <c r="N91" i="1" s="1"/>
  <c r="Z90" i="1"/>
  <c r="W90" i="1"/>
  <c r="T90" i="1"/>
  <c r="M90" i="1"/>
  <c r="N90" i="1" s="1"/>
  <c r="Z89" i="1"/>
  <c r="V89" i="1"/>
  <c r="S89" i="1"/>
  <c r="W89" i="1" s="1"/>
  <c r="Q89" i="1"/>
  <c r="P89" i="1"/>
  <c r="M89" i="1"/>
  <c r="G89" i="1"/>
  <c r="N89" i="1" s="1"/>
  <c r="Z88" i="1"/>
  <c r="W88" i="1"/>
  <c r="T88" i="1"/>
  <c r="Q88" i="1"/>
  <c r="M88" i="1"/>
  <c r="N88" i="1" s="1"/>
  <c r="V87" i="1"/>
  <c r="Z87" i="1" s="1"/>
  <c r="T87" i="1"/>
  <c r="M87" i="1"/>
  <c r="Q87" i="1" s="1"/>
  <c r="Y86" i="1"/>
  <c r="V86" i="1"/>
  <c r="Z86" i="1" s="1"/>
  <c r="P86" i="1"/>
  <c r="L86" i="1"/>
  <c r="J86" i="1"/>
  <c r="I86" i="1"/>
  <c r="H86" i="1"/>
  <c r="F86" i="1"/>
  <c r="E86" i="1"/>
  <c r="Z85" i="1"/>
  <c r="W85" i="1"/>
  <c r="T85" i="1"/>
  <c r="M85" i="1"/>
  <c r="Z84" i="1"/>
  <c r="W84" i="1"/>
  <c r="T84" i="1"/>
  <c r="Q84" i="1"/>
  <c r="M84" i="1"/>
  <c r="N84" i="1" s="1"/>
  <c r="Z83" i="1"/>
  <c r="W83" i="1"/>
  <c r="T83" i="1"/>
  <c r="M83" i="1"/>
  <c r="Y82" i="1"/>
  <c r="V82" i="1"/>
  <c r="S82" i="1"/>
  <c r="P82" i="1"/>
  <c r="L82" i="1"/>
  <c r="J82" i="1"/>
  <c r="J81" i="1" s="1"/>
  <c r="I82" i="1"/>
  <c r="I81" i="1" s="1"/>
  <c r="H82" i="1"/>
  <c r="G82" i="1"/>
  <c r="F82" i="1"/>
  <c r="F81" i="1" s="1"/>
  <c r="E82" i="1"/>
  <c r="E81" i="1" s="1"/>
  <c r="H81" i="1"/>
  <c r="Z80" i="1"/>
  <c r="W80" i="1"/>
  <c r="T80" i="1"/>
  <c r="Q80" i="1"/>
  <c r="N80" i="1"/>
  <c r="Z79" i="1"/>
  <c r="W79" i="1"/>
  <c r="T79" i="1"/>
  <c r="Q79" i="1"/>
  <c r="N79" i="1"/>
  <c r="Z78" i="1"/>
  <c r="W78" i="1"/>
  <c r="T78" i="1"/>
  <c r="N78" i="1"/>
  <c r="M78" i="1"/>
  <c r="Q78" i="1" s="1"/>
  <c r="Y77" i="1"/>
  <c r="Z77" i="1" s="1"/>
  <c r="W77" i="1"/>
  <c r="V77" i="1"/>
  <c r="S77" i="1"/>
  <c r="T77" i="1" s="1"/>
  <c r="P77" i="1"/>
  <c r="L77" i="1"/>
  <c r="J77" i="1"/>
  <c r="I77" i="1"/>
  <c r="H77" i="1"/>
  <c r="G77" i="1"/>
  <c r="F77" i="1"/>
  <c r="E77" i="1"/>
  <c r="W76" i="1"/>
  <c r="T76" i="1"/>
  <c r="Q76" i="1"/>
  <c r="M76" i="1"/>
  <c r="N76" i="1" s="1"/>
  <c r="Z75" i="1"/>
  <c r="W75" i="1"/>
  <c r="T75" i="1"/>
  <c r="J75" i="1"/>
  <c r="Z74" i="1"/>
  <c r="W74" i="1"/>
  <c r="T74" i="1"/>
  <c r="J74" i="1"/>
  <c r="W73" i="1"/>
  <c r="T73" i="1"/>
  <c r="J73" i="1"/>
  <c r="J145" i="1" s="1"/>
  <c r="W72" i="1"/>
  <c r="T72" i="1"/>
  <c r="J72" i="1"/>
  <c r="J144" i="1" s="1"/>
  <c r="Z71" i="1"/>
  <c r="W71" i="1"/>
  <c r="T71" i="1"/>
  <c r="Q71" i="1"/>
  <c r="M71" i="1"/>
  <c r="N71" i="1" s="1"/>
  <c r="J71" i="1"/>
  <c r="J142" i="1" s="1"/>
  <c r="W70" i="1"/>
  <c r="T70" i="1"/>
  <c r="M70" i="1"/>
  <c r="Q70" i="1" s="1"/>
  <c r="Z69" i="1"/>
  <c r="W69" i="1"/>
  <c r="T69" i="1"/>
  <c r="M69" i="1"/>
  <c r="N69" i="1" s="1"/>
  <c r="J69" i="1"/>
  <c r="J135" i="1" s="1"/>
  <c r="Z68" i="1"/>
  <c r="W68" i="1"/>
  <c r="T68" i="1"/>
  <c r="M68" i="1"/>
  <c r="Q68" i="1" s="1"/>
  <c r="W67" i="1"/>
  <c r="T67" i="1"/>
  <c r="M67" i="1"/>
  <c r="N67" i="1" s="1"/>
  <c r="F67" i="1"/>
  <c r="F66" i="1" s="1"/>
  <c r="Y66" i="1"/>
  <c r="V66" i="1"/>
  <c r="S66" i="1"/>
  <c r="P66" i="1"/>
  <c r="T66" i="1" s="1"/>
  <c r="L66" i="1"/>
  <c r="I66" i="1"/>
  <c r="H66" i="1"/>
  <c r="G66" i="1"/>
  <c r="E66" i="1"/>
  <c r="Z65" i="1"/>
  <c r="W65" i="1"/>
  <c r="T65" i="1"/>
  <c r="Q65" i="1"/>
  <c r="N65" i="1"/>
  <c r="V64" i="1"/>
  <c r="Z64" i="1" s="1"/>
  <c r="S64" i="1"/>
  <c r="P64" i="1"/>
  <c r="M64" i="1"/>
  <c r="Q64" i="1" s="1"/>
  <c r="F64" i="1"/>
  <c r="Z63" i="1"/>
  <c r="W63" i="1"/>
  <c r="T63" i="1"/>
  <c r="M63" i="1"/>
  <c r="Q63" i="1" s="1"/>
  <c r="E63" i="1"/>
  <c r="Z62" i="1"/>
  <c r="W62" i="1"/>
  <c r="T62" i="1"/>
  <c r="Q62" i="1"/>
  <c r="M62" i="1"/>
  <c r="N62" i="1" s="1"/>
  <c r="Z61" i="1"/>
  <c r="W61" i="1"/>
  <c r="T61" i="1"/>
  <c r="M61" i="1"/>
  <c r="Q61" i="1" s="1"/>
  <c r="W60" i="1"/>
  <c r="T60" i="1"/>
  <c r="M60" i="1"/>
  <c r="Q60" i="1" s="1"/>
  <c r="V59" i="1"/>
  <c r="W59" i="1" s="1"/>
  <c r="S59" i="1"/>
  <c r="T59" i="1" s="1"/>
  <c r="P59" i="1"/>
  <c r="Q59" i="1" s="1"/>
  <c r="N59" i="1"/>
  <c r="M59" i="1"/>
  <c r="G59" i="1"/>
  <c r="V58" i="1"/>
  <c r="W58" i="1" s="1"/>
  <c r="S58" i="1"/>
  <c r="P58" i="1"/>
  <c r="M58" i="1"/>
  <c r="G58" i="1"/>
  <c r="N58" i="1" s="1"/>
  <c r="W57" i="1"/>
  <c r="T57" i="1"/>
  <c r="L57" i="1"/>
  <c r="J57" i="1"/>
  <c r="M57" i="1" s="1"/>
  <c r="Q57" i="1" s="1"/>
  <c r="F57" i="1"/>
  <c r="E57" i="1"/>
  <c r="Z56" i="1"/>
  <c r="W56" i="1"/>
  <c r="T56" i="1"/>
  <c r="N56" i="1"/>
  <c r="M56" i="1"/>
  <c r="Q56" i="1" s="1"/>
  <c r="Z55" i="1"/>
  <c r="W55" i="1"/>
  <c r="T55" i="1"/>
  <c r="M55" i="1"/>
  <c r="Q55" i="1" s="1"/>
  <c r="I55" i="1"/>
  <c r="F55" i="1"/>
  <c r="E55" i="1"/>
  <c r="Z54" i="1"/>
  <c r="W54" i="1"/>
  <c r="T54" i="1"/>
  <c r="I54" i="1"/>
  <c r="M54" i="1" s="1"/>
  <c r="F54" i="1"/>
  <c r="E54" i="1"/>
  <c r="Z53" i="1"/>
  <c r="W53" i="1"/>
  <c r="T53" i="1"/>
  <c r="I53" i="1"/>
  <c r="M53" i="1" s="1"/>
  <c r="F53" i="1"/>
  <c r="E53" i="1"/>
  <c r="Y52" i="1"/>
  <c r="Z52" i="1" s="1"/>
  <c r="W52" i="1"/>
  <c r="V52" i="1"/>
  <c r="S52" i="1"/>
  <c r="P52" i="1"/>
  <c r="P43" i="1" s="1"/>
  <c r="L52" i="1"/>
  <c r="J52" i="1"/>
  <c r="H52" i="1"/>
  <c r="G52" i="1"/>
  <c r="Y51" i="1"/>
  <c r="V51" i="1"/>
  <c r="W51" i="1" s="1"/>
  <c r="T51" i="1"/>
  <c r="S51" i="1"/>
  <c r="P51" i="1"/>
  <c r="L51" i="1"/>
  <c r="M51" i="1" s="1"/>
  <c r="N51" i="1" s="1"/>
  <c r="O51" i="1" s="1"/>
  <c r="G51" i="1"/>
  <c r="F51" i="1"/>
  <c r="E51" i="1"/>
  <c r="Y50" i="1"/>
  <c r="Z50" i="1" s="1"/>
  <c r="V50" i="1"/>
  <c r="S50" i="1"/>
  <c r="P50" i="1"/>
  <c r="N50" i="1"/>
  <c r="O50" i="1" s="1"/>
  <c r="M50" i="1"/>
  <c r="Q50" i="1" s="1"/>
  <c r="L50" i="1"/>
  <c r="G50" i="1"/>
  <c r="F50" i="1"/>
  <c r="E50" i="1"/>
  <c r="Z49" i="1"/>
  <c r="W49" i="1"/>
  <c r="T49" i="1"/>
  <c r="M49" i="1"/>
  <c r="Q49" i="1" s="1"/>
  <c r="J49" i="1"/>
  <c r="F49" i="1"/>
  <c r="Z48" i="1"/>
  <c r="W48" i="1"/>
  <c r="T48" i="1"/>
  <c r="M48" i="1"/>
  <c r="Q48" i="1" s="1"/>
  <c r="Z47" i="1"/>
  <c r="W47" i="1"/>
  <c r="T47" i="1"/>
  <c r="I47" i="1"/>
  <c r="M47" i="1" s="1"/>
  <c r="Q47" i="1" s="1"/>
  <c r="Y46" i="1"/>
  <c r="Z46" i="1" s="1"/>
  <c r="W46" i="1"/>
  <c r="T46" i="1"/>
  <c r="N46" i="1"/>
  <c r="O46" i="1" s="1"/>
  <c r="M46" i="1"/>
  <c r="Q46" i="1" s="1"/>
  <c r="I46" i="1"/>
  <c r="H46" i="1"/>
  <c r="H43" i="1" s="1"/>
  <c r="F46" i="1"/>
  <c r="E46" i="1"/>
  <c r="Z45" i="1"/>
  <c r="W45" i="1"/>
  <c r="T45" i="1"/>
  <c r="M45" i="1"/>
  <c r="Q45" i="1" s="1"/>
  <c r="Z44" i="1"/>
  <c r="W44" i="1"/>
  <c r="T44" i="1"/>
  <c r="I44" i="1"/>
  <c r="M44" i="1" s="1"/>
  <c r="F44" i="1"/>
  <c r="E44" i="1"/>
  <c r="S43" i="1"/>
  <c r="Z42" i="1"/>
  <c r="W42" i="1"/>
  <c r="T42" i="1"/>
  <c r="Q42" i="1"/>
  <c r="N42" i="1"/>
  <c r="Z41" i="1"/>
  <c r="W41" i="1"/>
  <c r="T41" i="1"/>
  <c r="Q41" i="1"/>
  <c r="N41" i="1"/>
  <c r="Z40" i="1"/>
  <c r="W40" i="1"/>
  <c r="T40" i="1"/>
  <c r="J40" i="1"/>
  <c r="I40" i="1"/>
  <c r="M40" i="1" s="1"/>
  <c r="Z39" i="1"/>
  <c r="W39" i="1"/>
  <c r="T39" i="1"/>
  <c r="Q39" i="1"/>
  <c r="N39" i="1"/>
  <c r="Z38" i="1"/>
  <c r="W38" i="1"/>
  <c r="T38" i="1"/>
  <c r="N38" i="1"/>
  <c r="M38" i="1"/>
  <c r="Q38" i="1" s="1"/>
  <c r="F38" i="1"/>
  <c r="E38" i="1"/>
  <c r="E36" i="1" s="1"/>
  <c r="V37" i="1"/>
  <c r="Z37" i="1" s="1"/>
  <c r="T37" i="1"/>
  <c r="M37" i="1"/>
  <c r="Q37" i="1" s="1"/>
  <c r="F37" i="1"/>
  <c r="Y36" i="1"/>
  <c r="S36" i="1"/>
  <c r="P36" i="1"/>
  <c r="M36" i="1"/>
  <c r="N36" i="1" s="1"/>
  <c r="O36" i="1" s="1"/>
  <c r="L36" i="1"/>
  <c r="J36" i="1"/>
  <c r="I36" i="1"/>
  <c r="H36" i="1"/>
  <c r="G36" i="1"/>
  <c r="Z35" i="1"/>
  <c r="W35" i="1"/>
  <c r="T35" i="1"/>
  <c r="L35" i="1"/>
  <c r="L32" i="1" s="1"/>
  <c r="F35" i="1"/>
  <c r="Z34" i="1"/>
  <c r="W34" i="1"/>
  <c r="T34" i="1"/>
  <c r="M34" i="1"/>
  <c r="Z33" i="1"/>
  <c r="W33" i="1"/>
  <c r="T33" i="1"/>
  <c r="N33" i="1"/>
  <c r="M33" i="1"/>
  <c r="Q33" i="1" s="1"/>
  <c r="Y32" i="1"/>
  <c r="Z32" i="1" s="1"/>
  <c r="V32" i="1"/>
  <c r="S32" i="1"/>
  <c r="W32" i="1" s="1"/>
  <c r="P32" i="1"/>
  <c r="J32" i="1"/>
  <c r="I32" i="1"/>
  <c r="H32" i="1"/>
  <c r="G32" i="1"/>
  <c r="F32" i="1"/>
  <c r="E32" i="1"/>
  <c r="Z31" i="1"/>
  <c r="W31" i="1"/>
  <c r="T31" i="1"/>
  <c r="N31" i="1"/>
  <c r="M31" i="1"/>
  <c r="Q31" i="1" s="1"/>
  <c r="F31" i="1"/>
  <c r="Z30" i="1"/>
  <c r="W30" i="1"/>
  <c r="T30" i="1"/>
  <c r="M30" i="1"/>
  <c r="Q30" i="1" s="1"/>
  <c r="Z29" i="1"/>
  <c r="W29" i="1"/>
  <c r="T29" i="1"/>
  <c r="M29" i="1"/>
  <c r="Q29" i="1" s="1"/>
  <c r="F29" i="1"/>
  <c r="Z28" i="1"/>
  <c r="W28" i="1"/>
  <c r="T28" i="1"/>
  <c r="Q28" i="1"/>
  <c r="N28" i="1"/>
  <c r="M28" i="1"/>
  <c r="Z27" i="1"/>
  <c r="W27" i="1"/>
  <c r="T27" i="1"/>
  <c r="M27" i="1"/>
  <c r="Q27" i="1" s="1"/>
  <c r="Z26" i="1"/>
  <c r="W26" i="1"/>
  <c r="T26" i="1"/>
  <c r="N26" i="1"/>
  <c r="M26" i="1"/>
  <c r="Q26" i="1" s="1"/>
  <c r="Y25" i="1"/>
  <c r="Z25" i="1" s="1"/>
  <c r="V25" i="1"/>
  <c r="S25" i="1"/>
  <c r="W25" i="1" s="1"/>
  <c r="P25" i="1"/>
  <c r="L25" i="1"/>
  <c r="J25" i="1"/>
  <c r="I25" i="1"/>
  <c r="H25" i="1"/>
  <c r="G25" i="1"/>
  <c r="E25" i="1"/>
  <c r="Z24" i="1"/>
  <c r="W24" i="1"/>
  <c r="T24" i="1"/>
  <c r="Q24" i="1"/>
  <c r="M24" i="1"/>
  <c r="N24" i="1" s="1"/>
  <c r="Z23" i="1"/>
  <c r="W23" i="1"/>
  <c r="T23" i="1"/>
  <c r="M23" i="1"/>
  <c r="Q23" i="1" s="1"/>
  <c r="F23" i="1"/>
  <c r="F21" i="1" s="1"/>
  <c r="Z22" i="1"/>
  <c r="W22" i="1"/>
  <c r="T22" i="1"/>
  <c r="N22" i="1"/>
  <c r="M22" i="1"/>
  <c r="Q22" i="1" s="1"/>
  <c r="Y21" i="1"/>
  <c r="Y20" i="1" s="1"/>
  <c r="Z20" i="1" s="1"/>
  <c r="V21" i="1"/>
  <c r="S21" i="1"/>
  <c r="W21" i="1" s="1"/>
  <c r="P21" i="1"/>
  <c r="M21" i="1"/>
  <c r="Q21" i="1" s="1"/>
  <c r="L21" i="1"/>
  <c r="J21" i="1"/>
  <c r="J20" i="1" s="1"/>
  <c r="I21" i="1"/>
  <c r="I20" i="1" s="1"/>
  <c r="H21" i="1"/>
  <c r="H20" i="1" s="1"/>
  <c r="G21" i="1"/>
  <c r="E21" i="1"/>
  <c r="E20" i="1" s="1"/>
  <c r="V20" i="1"/>
  <c r="P20" i="1"/>
  <c r="L20" i="1"/>
  <c r="G20" i="1"/>
  <c r="Z19" i="1"/>
  <c r="W19" i="1"/>
  <c r="T19" i="1"/>
  <c r="M19" i="1"/>
  <c r="Q19" i="1" s="1"/>
  <c r="Z18" i="1"/>
  <c r="W18" i="1"/>
  <c r="T18" i="1"/>
  <c r="Q18" i="1"/>
  <c r="N18" i="1"/>
  <c r="M18" i="1"/>
  <c r="E18" i="1"/>
  <c r="V17" i="1"/>
  <c r="Z17" i="1" s="1"/>
  <c r="S17" i="1"/>
  <c r="L17" i="1"/>
  <c r="L16" i="1" s="1"/>
  <c r="E17" i="1"/>
  <c r="E16" i="1" s="1"/>
  <c r="Y16" i="1"/>
  <c r="P16" i="1"/>
  <c r="K16" i="1"/>
  <c r="J16" i="1"/>
  <c r="I16" i="1"/>
  <c r="H16" i="1"/>
  <c r="G16" i="1"/>
  <c r="F16" i="1"/>
  <c r="Z15" i="1"/>
  <c r="W15" i="1"/>
  <c r="T15" i="1"/>
  <c r="N15" i="1"/>
  <c r="M15" i="1"/>
  <c r="Q15" i="1" s="1"/>
  <c r="F15" i="1"/>
  <c r="F13" i="1" s="1"/>
  <c r="E15" i="1"/>
  <c r="V14" i="1"/>
  <c r="Z14" i="1" s="1"/>
  <c r="S14" i="1"/>
  <c r="T14" i="1" s="1"/>
  <c r="L14" i="1"/>
  <c r="L13" i="1" s="1"/>
  <c r="F14" i="1"/>
  <c r="E14" i="1"/>
  <c r="Y13" i="1"/>
  <c r="P13" i="1"/>
  <c r="K13" i="1"/>
  <c r="J13" i="1"/>
  <c r="I13" i="1"/>
  <c r="H13" i="1"/>
  <c r="G13" i="1"/>
  <c r="Z12" i="1"/>
  <c r="W12" i="1"/>
  <c r="T12" i="1"/>
  <c r="M12" i="1"/>
  <c r="Q12" i="1" s="1"/>
  <c r="F12" i="1"/>
  <c r="E12" i="1"/>
  <c r="V11" i="1"/>
  <c r="Z11" i="1" s="1"/>
  <c r="S11" i="1"/>
  <c r="L11" i="1"/>
  <c r="M11" i="1" s="1"/>
  <c r="F11" i="1"/>
  <c r="E11" i="1"/>
  <c r="E10" i="1" s="1"/>
  <c r="Y10" i="1"/>
  <c r="V10" i="1"/>
  <c r="S10" i="1"/>
  <c r="P10" i="1"/>
  <c r="K10" i="1"/>
  <c r="J10" i="1"/>
  <c r="I10" i="1"/>
  <c r="H10" i="1"/>
  <c r="H6" i="1" s="1"/>
  <c r="G10" i="1"/>
  <c r="F10" i="1"/>
  <c r="Z9" i="1"/>
  <c r="W9" i="1"/>
  <c r="T9" i="1"/>
  <c r="L9" i="1"/>
  <c r="L7" i="1" s="1"/>
  <c r="W8" i="1"/>
  <c r="T8" i="1"/>
  <c r="Q8" i="1"/>
  <c r="M8" i="1"/>
  <c r="N8" i="1" s="1"/>
  <c r="Y7" i="1"/>
  <c r="W7" i="1"/>
  <c r="V7" i="1"/>
  <c r="S7" i="1"/>
  <c r="T7" i="1" s="1"/>
  <c r="P7" i="1"/>
  <c r="K7" i="1"/>
  <c r="J7" i="1"/>
  <c r="I7" i="1"/>
  <c r="H7" i="1"/>
  <c r="G7" i="1"/>
  <c r="G6" i="1" s="1"/>
  <c r="F7" i="1"/>
  <c r="E7" i="1"/>
  <c r="P6" i="1"/>
  <c r="N121" i="1" l="1"/>
  <c r="O121" i="1" s="1"/>
  <c r="Q137" i="1"/>
  <c r="Q140" i="1"/>
  <c r="M180" i="1"/>
  <c r="Q180" i="1" s="1"/>
  <c r="E13" i="1"/>
  <c r="Q231" i="1"/>
  <c r="N231" i="1"/>
  <c r="O231" i="1" s="1"/>
  <c r="N54" i="1"/>
  <c r="Q54" i="1"/>
  <c r="H92" i="1"/>
  <c r="H109" i="1" s="1"/>
  <c r="Z10" i="1"/>
  <c r="W11" i="1"/>
  <c r="S13" i="1"/>
  <c r="T13" i="1" s="1"/>
  <c r="M14" i="1"/>
  <c r="Q14" i="1" s="1"/>
  <c r="V16" i="1"/>
  <c r="W17" i="1"/>
  <c r="N30" i="1"/>
  <c r="M32" i="1"/>
  <c r="T36" i="1"/>
  <c r="F36" i="1"/>
  <c r="I43" i="1"/>
  <c r="I92" i="1" s="1"/>
  <c r="I109" i="1" s="1"/>
  <c r="N48" i="1"/>
  <c r="O48" i="1" s="1"/>
  <c r="Q51" i="1"/>
  <c r="I52" i="1"/>
  <c r="T52" i="1"/>
  <c r="N60" i="1"/>
  <c r="N68" i="1"/>
  <c r="M77" i="1"/>
  <c r="L81" i="1"/>
  <c r="Z82" i="1"/>
  <c r="N87" i="1"/>
  <c r="W87" i="1"/>
  <c r="T89" i="1"/>
  <c r="M95" i="1"/>
  <c r="N95" i="1" s="1"/>
  <c r="Z95" i="1"/>
  <c r="Q102" i="1"/>
  <c r="M151" i="1"/>
  <c r="G230" i="1"/>
  <c r="N120" i="1"/>
  <c r="O120" i="1" s="1"/>
  <c r="Z125" i="1"/>
  <c r="L126" i="1"/>
  <c r="N129" i="1"/>
  <c r="O129" i="1" s="1"/>
  <c r="E132" i="1"/>
  <c r="N139" i="1"/>
  <c r="N141" i="1"/>
  <c r="M149" i="1"/>
  <c r="Q149" i="1" s="1"/>
  <c r="N152" i="1"/>
  <c r="Z154" i="1"/>
  <c r="E154" i="1"/>
  <c r="Q166" i="1"/>
  <c r="N195" i="1"/>
  <c r="M212" i="1"/>
  <c r="N213" i="1"/>
  <c r="F115" i="1"/>
  <c r="Z16" i="1"/>
  <c r="T43" i="1"/>
  <c r="W50" i="1"/>
  <c r="Z51" i="1"/>
  <c r="V43" i="1"/>
  <c r="W43" i="1" s="1"/>
  <c r="F52" i="1"/>
  <c r="T58" i="1"/>
  <c r="Z66" i="1"/>
  <c r="S86" i="1"/>
  <c r="T86" i="1" s="1"/>
  <c r="Q90" i="1"/>
  <c r="M104" i="1"/>
  <c r="M130" i="1"/>
  <c r="I166" i="1"/>
  <c r="W175" i="1"/>
  <c r="H201" i="1"/>
  <c r="H173" i="1" s="1"/>
  <c r="Z201" i="1"/>
  <c r="W225" i="1"/>
  <c r="Q232" i="1"/>
  <c r="M25" i="1"/>
  <c r="Q25" i="1" s="1"/>
  <c r="W10" i="1"/>
  <c r="V13" i="1"/>
  <c r="W13" i="1" s="1"/>
  <c r="F25" i="1"/>
  <c r="F20" i="1" s="1"/>
  <c r="F92" i="1" s="1"/>
  <c r="F109" i="1" s="1"/>
  <c r="M35" i="1"/>
  <c r="Q35" i="1" s="1"/>
  <c r="V36" i="1"/>
  <c r="Z36" i="1" s="1"/>
  <c r="Y43" i="1"/>
  <c r="F43" i="1"/>
  <c r="G43" i="1"/>
  <c r="L43" i="1"/>
  <c r="E52" i="1"/>
  <c r="E43" i="1" s="1"/>
  <c r="W64" i="1"/>
  <c r="F134" i="1"/>
  <c r="F132" i="1" s="1"/>
  <c r="J165" i="1"/>
  <c r="E173" i="1"/>
  <c r="M191" i="1"/>
  <c r="L225" i="1"/>
  <c r="H94" i="1"/>
  <c r="M94" i="1" s="1"/>
  <c r="Q32" i="1"/>
  <c r="N32" i="1"/>
  <c r="O32" i="1" s="1"/>
  <c r="G233" i="1"/>
  <c r="Q40" i="1"/>
  <c r="N40" i="1"/>
  <c r="O40" i="1" s="1"/>
  <c r="N44" i="1"/>
  <c r="O44" i="1" s="1"/>
  <c r="Q44" i="1"/>
  <c r="N53" i="1"/>
  <c r="Q53" i="1"/>
  <c r="M52" i="1"/>
  <c r="Q11" i="1"/>
  <c r="M10" i="1"/>
  <c r="N11" i="1"/>
  <c r="Q83" i="1"/>
  <c r="M82" i="1"/>
  <c r="N83" i="1"/>
  <c r="S98" i="1"/>
  <c r="T99" i="1"/>
  <c r="Q118" i="1"/>
  <c r="M115" i="1"/>
  <c r="Q193" i="1"/>
  <c r="N193" i="1"/>
  <c r="T10" i="1"/>
  <c r="S16" i="1"/>
  <c r="M17" i="1"/>
  <c r="T21" i="1"/>
  <c r="T25" i="1"/>
  <c r="N27" i="1"/>
  <c r="T32" i="1"/>
  <c r="N34" i="1"/>
  <c r="N45" i="1"/>
  <c r="O45" i="1" s="1"/>
  <c r="N47" i="1"/>
  <c r="O47" i="1" s="1"/>
  <c r="N49" i="1"/>
  <c r="O49" i="1" s="1"/>
  <c r="T50" i="1"/>
  <c r="N55" i="1"/>
  <c r="N57" i="1"/>
  <c r="Q58" i="1"/>
  <c r="N61" i="1"/>
  <c r="N64" i="1"/>
  <c r="T64" i="1"/>
  <c r="W66" i="1"/>
  <c r="Q69" i="1"/>
  <c r="M72" i="1"/>
  <c r="Q72" i="1" s="1"/>
  <c r="L145" i="1"/>
  <c r="M145" i="1"/>
  <c r="J150" i="1"/>
  <c r="M74" i="1"/>
  <c r="Q74" i="1" s="1"/>
  <c r="T82" i="1"/>
  <c r="Q85" i="1"/>
  <c r="N85" i="1"/>
  <c r="W91" i="1"/>
  <c r="W99" i="1"/>
  <c r="N118" i="1"/>
  <c r="O118" i="1" s="1"/>
  <c r="Q148" i="1"/>
  <c r="N148" i="1"/>
  <c r="AA148" i="1"/>
  <c r="M157" i="1"/>
  <c r="L154" i="1"/>
  <c r="W166" i="1"/>
  <c r="V165" i="1"/>
  <c r="E92" i="1"/>
  <c r="E109" i="1" s="1"/>
  <c r="E234" i="1" s="1"/>
  <c r="Q136" i="1"/>
  <c r="N136" i="1"/>
  <c r="Q164" i="1"/>
  <c r="N164" i="1"/>
  <c r="O164" i="1" s="1"/>
  <c r="Q197" i="1"/>
  <c r="N197" i="1"/>
  <c r="T11" i="1"/>
  <c r="N12" i="1"/>
  <c r="T17" i="1"/>
  <c r="N19" i="1"/>
  <c r="O19" i="1" s="1"/>
  <c r="N21" i="1"/>
  <c r="Z21" i="1"/>
  <c r="N25" i="1"/>
  <c r="N35" i="1"/>
  <c r="Q36" i="1"/>
  <c r="E6" i="1"/>
  <c r="I6" i="1"/>
  <c r="Y6" i="1"/>
  <c r="K92" i="1"/>
  <c r="Z7" i="1"/>
  <c r="L10" i="1"/>
  <c r="L6" i="1" s="1"/>
  <c r="W14" i="1"/>
  <c r="M20" i="1"/>
  <c r="N20" i="1" s="1"/>
  <c r="O20" i="1" s="1"/>
  <c r="N23" i="1"/>
  <c r="N29" i="1"/>
  <c r="Q34" i="1"/>
  <c r="N37" i="1"/>
  <c r="W37" i="1"/>
  <c r="I202" i="1"/>
  <c r="I201" i="1" s="1"/>
  <c r="N63" i="1"/>
  <c r="Q67" i="1"/>
  <c r="N70" i="1"/>
  <c r="M73" i="1"/>
  <c r="Q73" i="1" s="1"/>
  <c r="J146" i="1"/>
  <c r="J134" i="1" s="1"/>
  <c r="M75" i="1"/>
  <c r="Q75" i="1" s="1"/>
  <c r="V81" i="1"/>
  <c r="W82" i="1"/>
  <c r="Q95" i="1"/>
  <c r="K98" i="1"/>
  <c r="K96" i="1" s="1"/>
  <c r="K143" i="1"/>
  <c r="M103" i="1"/>
  <c r="N116" i="1"/>
  <c r="O116" i="1" s="1"/>
  <c r="Y115" i="1"/>
  <c r="Z116" i="1"/>
  <c r="N119" i="1"/>
  <c r="O119" i="1" s="1"/>
  <c r="Q122" i="1"/>
  <c r="N122" i="1"/>
  <c r="O122" i="1" s="1"/>
  <c r="N124" i="1"/>
  <c r="O124" i="1" s="1"/>
  <c r="N127" i="1"/>
  <c r="O127" i="1" s="1"/>
  <c r="Q127" i="1"/>
  <c r="M126" i="1"/>
  <c r="Q126" i="1" s="1"/>
  <c r="Q131" i="1"/>
  <c r="N131" i="1"/>
  <c r="O131" i="1" s="1"/>
  <c r="L142" i="1"/>
  <c r="M142" i="1" s="1"/>
  <c r="I210" i="1"/>
  <c r="M210" i="1" s="1"/>
  <c r="I209" i="1"/>
  <c r="M144" i="1"/>
  <c r="L144" i="1"/>
  <c r="P81" i="1"/>
  <c r="M9" i="1"/>
  <c r="F4" i="1"/>
  <c r="F6" i="1"/>
  <c r="J6" i="1"/>
  <c r="S20" i="1"/>
  <c r="T20" i="1" s="1"/>
  <c r="J66" i="1"/>
  <c r="J43" i="1" s="1"/>
  <c r="J92" i="1" s="1"/>
  <c r="J109" i="1" s="1"/>
  <c r="L135" i="1"/>
  <c r="M135" i="1"/>
  <c r="G86" i="1"/>
  <c r="G81" i="1" s="1"/>
  <c r="G92" i="1" s="1"/>
  <c r="G109" i="1" s="1"/>
  <c r="T95" i="1"/>
  <c r="S93" i="1"/>
  <c r="Q104" i="1"/>
  <c r="N104" i="1"/>
  <c r="K150" i="1"/>
  <c r="K147" i="1" s="1"/>
  <c r="M106" i="1"/>
  <c r="Q106" i="1" s="1"/>
  <c r="Q151" i="1"/>
  <c r="N151" i="1"/>
  <c r="Z108" i="1"/>
  <c r="W108" i="1"/>
  <c r="Q123" i="1"/>
  <c r="N123" i="1"/>
  <c r="O123" i="1" s="1"/>
  <c r="N128" i="1"/>
  <c r="O128" i="1" s="1"/>
  <c r="Q128" i="1"/>
  <c r="M155" i="1"/>
  <c r="I154" i="1"/>
  <c r="M154" i="1" s="1"/>
  <c r="N222" i="1"/>
  <c r="O222" i="1" s="1"/>
  <c r="Q222" i="1"/>
  <c r="S81" i="1"/>
  <c r="Y81" i="1"/>
  <c r="Z81" i="1" s="1"/>
  <c r="M86" i="1"/>
  <c r="V98" i="1"/>
  <c r="K134" i="1"/>
  <c r="L115" i="1"/>
  <c r="Q116" i="1"/>
  <c r="Q117" i="1"/>
  <c r="Q124" i="1"/>
  <c r="P132" i="1"/>
  <c r="Z133" i="1"/>
  <c r="Y165" i="1"/>
  <c r="Z165" i="1" s="1"/>
  <c r="Z166" i="1"/>
  <c r="Q174" i="1"/>
  <c r="N174" i="1"/>
  <c r="O174" i="1" s="1"/>
  <c r="L207" i="1"/>
  <c r="M207" i="1" s="1"/>
  <c r="E230" i="1"/>
  <c r="E233" i="1" s="1"/>
  <c r="Z126" i="1"/>
  <c r="H132" i="1"/>
  <c r="T147" i="1"/>
  <c r="Q187" i="1"/>
  <c r="M186" i="1"/>
  <c r="N187" i="1"/>
  <c r="Q228" i="1"/>
  <c r="M225" i="1"/>
  <c r="N228" i="1"/>
  <c r="O228" i="1" s="1"/>
  <c r="P93" i="1"/>
  <c r="V93" i="1"/>
  <c r="M101" i="1"/>
  <c r="M105" i="1"/>
  <c r="M107" i="1"/>
  <c r="M133" i="1"/>
  <c r="Z134" i="1"/>
  <c r="V147" i="1"/>
  <c r="W147" i="1" s="1"/>
  <c r="Z148" i="1"/>
  <c r="N149" i="1"/>
  <c r="W154" i="1"/>
  <c r="Q158" i="1"/>
  <c r="N162" i="1"/>
  <c r="O162" i="1" s="1"/>
  <c r="N163" i="1"/>
  <c r="O163" i="1" s="1"/>
  <c r="P165" i="1"/>
  <c r="T166" i="1"/>
  <c r="T169" i="1"/>
  <c r="I169" i="1"/>
  <c r="M171" i="1"/>
  <c r="W186" i="1"/>
  <c r="T186" i="1"/>
  <c r="S173" i="1"/>
  <c r="T173" i="1" s="1"/>
  <c r="N199" i="1"/>
  <c r="O199" i="1" s="1"/>
  <c r="W198" i="1"/>
  <c r="T198" i="1"/>
  <c r="L198" i="1"/>
  <c r="M200" i="1"/>
  <c r="L201" i="1"/>
  <c r="M204" i="1"/>
  <c r="Z208" i="1"/>
  <c r="W208" i="1"/>
  <c r="Q216" i="1"/>
  <c r="N216" i="1"/>
  <c r="Q229" i="1"/>
  <c r="N229" i="1"/>
  <c r="O229" i="1" s="1"/>
  <c r="N167" i="1"/>
  <c r="N170" i="1"/>
  <c r="M178" i="1"/>
  <c r="J176" i="1"/>
  <c r="Q182" i="1"/>
  <c r="N182" i="1"/>
  <c r="N188" i="1"/>
  <c r="M202" i="1"/>
  <c r="Q206" i="1"/>
  <c r="N206" i="1"/>
  <c r="M215" i="1"/>
  <c r="Q217" i="1"/>
  <c r="N217" i="1"/>
  <c r="Q223" i="1"/>
  <c r="Q224" i="1"/>
  <c r="N224" i="1"/>
  <c r="O224" i="1" s="1"/>
  <c r="S165" i="1"/>
  <c r="Q167" i="1"/>
  <c r="W169" i="1"/>
  <c r="Q170" i="1"/>
  <c r="N172" i="1"/>
  <c r="O172" i="1" s="1"/>
  <c r="V173" i="1"/>
  <c r="W173" i="1" s="1"/>
  <c r="J186" i="1"/>
  <c r="M203" i="1"/>
  <c r="M205" i="1"/>
  <c r="T208" i="1"/>
  <c r="Q218" i="1"/>
  <c r="N218" i="1"/>
  <c r="M221" i="1"/>
  <c r="L214" i="1"/>
  <c r="K109" i="1" l="1"/>
  <c r="M98" i="1"/>
  <c r="N180" i="1"/>
  <c r="H230" i="1"/>
  <c r="H233" i="1" s="1"/>
  <c r="H234" i="1" s="1"/>
  <c r="T93" i="1"/>
  <c r="M13" i="1"/>
  <c r="V92" i="1"/>
  <c r="Q130" i="1"/>
  <c r="N130" i="1"/>
  <c r="O130" i="1" s="1"/>
  <c r="F230" i="1"/>
  <c r="F233" i="1" s="1"/>
  <c r="F234" i="1" s="1"/>
  <c r="N77" i="1"/>
  <c r="O77" i="1" s="1"/>
  <c r="Q77" i="1"/>
  <c r="I165" i="1"/>
  <c r="N191" i="1"/>
  <c r="Q191" i="1"/>
  <c r="W86" i="1"/>
  <c r="V6" i="1"/>
  <c r="Z6" i="1" s="1"/>
  <c r="G234" i="1"/>
  <c r="N14" i="1"/>
  <c r="W36" i="1"/>
  <c r="Z43" i="1"/>
  <c r="Q212" i="1"/>
  <c r="N212" i="1"/>
  <c r="Z13" i="1"/>
  <c r="Q142" i="1"/>
  <c r="N142" i="1"/>
  <c r="Q202" i="1"/>
  <c r="N202" i="1"/>
  <c r="M201" i="1"/>
  <c r="N204" i="1"/>
  <c r="Q204" i="1"/>
  <c r="N171" i="1"/>
  <c r="Q171" i="1"/>
  <c r="Q98" i="1"/>
  <c r="M96" i="1"/>
  <c r="N98" i="1"/>
  <c r="Q207" i="1"/>
  <c r="N207" i="1"/>
  <c r="O207" i="1" s="1"/>
  <c r="Q135" i="1"/>
  <c r="N135" i="1"/>
  <c r="N157" i="1"/>
  <c r="O157" i="1" s="1"/>
  <c r="Q157" i="1"/>
  <c r="T16" i="1"/>
  <c r="W16" i="1"/>
  <c r="L92" i="1"/>
  <c r="L109" i="1" s="1"/>
  <c r="Q205" i="1"/>
  <c r="N205" i="1"/>
  <c r="Q215" i="1"/>
  <c r="N215" i="1"/>
  <c r="M214" i="1"/>
  <c r="N178" i="1"/>
  <c r="Q178" i="1"/>
  <c r="N154" i="1"/>
  <c r="O154" i="1" s="1"/>
  <c r="Q107" i="1"/>
  <c r="N107" i="1"/>
  <c r="Z93" i="1"/>
  <c r="W93" i="1"/>
  <c r="S92" i="1"/>
  <c r="N126" i="1"/>
  <c r="O126" i="1" s="1"/>
  <c r="Q103" i="1"/>
  <c r="N103" i="1"/>
  <c r="M146" i="1"/>
  <c r="L146" i="1"/>
  <c r="S6" i="1"/>
  <c r="W165" i="1"/>
  <c r="Q52" i="1"/>
  <c r="N52" i="1"/>
  <c r="O52" i="1" s="1"/>
  <c r="P92" i="1"/>
  <c r="Q20" i="1"/>
  <c r="Q221" i="1"/>
  <c r="N221" i="1"/>
  <c r="J175" i="1"/>
  <c r="J173" i="1" s="1"/>
  <c r="M176" i="1"/>
  <c r="N225" i="1"/>
  <c r="O225" i="1" s="1"/>
  <c r="Q225" i="1"/>
  <c r="N86" i="1"/>
  <c r="Q86" i="1"/>
  <c r="Q9" i="1"/>
  <c r="M7" i="1"/>
  <c r="N9" i="1"/>
  <c r="T165" i="1"/>
  <c r="M169" i="1"/>
  <c r="Q105" i="1"/>
  <c r="N105" i="1"/>
  <c r="Z147" i="1"/>
  <c r="K132" i="1"/>
  <c r="K230" i="1" s="1"/>
  <c r="K233" i="1" s="1"/>
  <c r="K234" i="1" s="1"/>
  <c r="T81" i="1"/>
  <c r="Q155" i="1"/>
  <c r="N155" i="1"/>
  <c r="O155" i="1" s="1"/>
  <c r="Q144" i="1"/>
  <c r="N144" i="1"/>
  <c r="Y230" i="1"/>
  <c r="Z115" i="1"/>
  <c r="L143" i="1"/>
  <c r="M143" i="1" s="1"/>
  <c r="M66" i="1"/>
  <c r="Q154" i="1"/>
  <c r="S96" i="1"/>
  <c r="T96" i="1" s="1"/>
  <c r="T98" i="1"/>
  <c r="Q10" i="1"/>
  <c r="N10" i="1"/>
  <c r="O10" i="1" s="1"/>
  <c r="W20" i="1"/>
  <c r="M43" i="1"/>
  <c r="Q210" i="1"/>
  <c r="N210" i="1"/>
  <c r="Q145" i="1"/>
  <c r="N145" i="1"/>
  <c r="N82" i="1"/>
  <c r="M81" i="1"/>
  <c r="N81" i="1" s="1"/>
  <c r="O81" i="1" s="1"/>
  <c r="Q203" i="1"/>
  <c r="N203" i="1"/>
  <c r="M198" i="1"/>
  <c r="N200" i="1"/>
  <c r="O200" i="1" s="1"/>
  <c r="Q200" i="1"/>
  <c r="N133" i="1"/>
  <c r="Q133" i="1"/>
  <c r="L173" i="1"/>
  <c r="Z173" i="1"/>
  <c r="S230" i="1"/>
  <c r="Q101" i="1"/>
  <c r="N101" i="1"/>
  <c r="Q186" i="1"/>
  <c r="N186" i="1"/>
  <c r="O186" i="1" s="1"/>
  <c r="V132" i="1"/>
  <c r="P230" i="1"/>
  <c r="W98" i="1"/>
  <c r="Z98" i="1"/>
  <c r="V96" i="1"/>
  <c r="V109" i="1" s="1"/>
  <c r="Q82" i="1"/>
  <c r="M209" i="1"/>
  <c r="I208" i="1"/>
  <c r="I173" i="1" s="1"/>
  <c r="W81" i="1"/>
  <c r="T132" i="1"/>
  <c r="J147" i="1"/>
  <c r="J132" i="1" s="1"/>
  <c r="J230" i="1" s="1"/>
  <c r="J233" i="1" s="1"/>
  <c r="J234" i="1" s="1"/>
  <c r="L150" i="1"/>
  <c r="L147" i="1" s="1"/>
  <c r="Q17" i="1"/>
  <c r="N17" i="1"/>
  <c r="M16" i="1"/>
  <c r="Y92" i="1"/>
  <c r="N115" i="1"/>
  <c r="O115" i="1" s="1"/>
  <c r="Q115" i="1"/>
  <c r="Q94" i="1"/>
  <c r="N94" i="1"/>
  <c r="M93" i="1"/>
  <c r="N93" i="1" s="1"/>
  <c r="O93" i="1" s="1"/>
  <c r="N13" i="1" l="1"/>
  <c r="O13" i="1" s="1"/>
  <c r="Q13" i="1"/>
  <c r="I230" i="1"/>
  <c r="I233" i="1" s="1"/>
  <c r="I234" i="1" s="1"/>
  <c r="N143" i="1"/>
  <c r="Q143" i="1"/>
  <c r="M134" i="1"/>
  <c r="N16" i="1"/>
  <c r="O16" i="1" s="1"/>
  <c r="Q16" i="1"/>
  <c r="S233" i="1"/>
  <c r="T230" i="1"/>
  <c r="T92" i="1"/>
  <c r="S109" i="1"/>
  <c r="W109" i="1" s="1"/>
  <c r="T6" i="1"/>
  <c r="W6" i="1"/>
  <c r="P233" i="1"/>
  <c r="Q198" i="1"/>
  <c r="N198" i="1"/>
  <c r="O198" i="1" s="1"/>
  <c r="N43" i="1"/>
  <c r="O43" i="1" s="1"/>
  <c r="Q43" i="1"/>
  <c r="N66" i="1"/>
  <c r="O66" i="1" s="1"/>
  <c r="Q66" i="1"/>
  <c r="L134" i="1"/>
  <c r="L132" i="1" s="1"/>
  <c r="L230" i="1" s="1"/>
  <c r="L233" i="1" s="1"/>
  <c r="L234" i="1" s="1"/>
  <c r="N169" i="1"/>
  <c r="O169" i="1" s="1"/>
  <c r="Q169" i="1"/>
  <c r="M165" i="1"/>
  <c r="N96" i="1"/>
  <c r="O96" i="1" s="1"/>
  <c r="Q96" i="1"/>
  <c r="Q176" i="1"/>
  <c r="N176" i="1"/>
  <c r="M175" i="1"/>
  <c r="N201" i="1"/>
  <c r="O201" i="1" s="1"/>
  <c r="Q201" i="1"/>
  <c r="Q209" i="1"/>
  <c r="M208" i="1"/>
  <c r="N209" i="1"/>
  <c r="M92" i="1"/>
  <c r="Q92" i="1" s="1"/>
  <c r="Q7" i="1"/>
  <c r="N7" i="1"/>
  <c r="O7" i="1" s="1"/>
  <c r="M6" i="1"/>
  <c r="P109" i="1"/>
  <c r="W92" i="1"/>
  <c r="Z92" i="1"/>
  <c r="Y109" i="1"/>
  <c r="M150" i="1"/>
  <c r="W96" i="1"/>
  <c r="Z96" i="1"/>
  <c r="W132" i="1"/>
  <c r="Z132" i="1"/>
  <c r="V230" i="1"/>
  <c r="Q93" i="1"/>
  <c r="O133" i="1"/>
  <c r="Y233" i="1"/>
  <c r="Q146" i="1"/>
  <c r="N146" i="1"/>
  <c r="N214" i="1"/>
  <c r="O214" i="1" s="1"/>
  <c r="Q214" i="1"/>
  <c r="Q81" i="1"/>
  <c r="V233" i="1" l="1"/>
  <c r="W230" i="1"/>
  <c r="N134" i="1"/>
  <c r="O134" i="1" s="1"/>
  <c r="Q134" i="1"/>
  <c r="Q150" i="1"/>
  <c r="N150" i="1"/>
  <c r="M147" i="1"/>
  <c r="M132" i="1" s="1"/>
  <c r="N208" i="1"/>
  <c r="O208" i="1" s="1"/>
  <c r="Q208" i="1"/>
  <c r="Z233" i="1"/>
  <c r="Y234" i="1"/>
  <c r="Z109" i="1"/>
  <c r="P234" i="1"/>
  <c r="N175" i="1"/>
  <c r="O175" i="1" s="1"/>
  <c r="Q175" i="1"/>
  <c r="M173" i="1"/>
  <c r="Z230" i="1"/>
  <c r="N6" i="1"/>
  <c r="O6" i="1" s="1"/>
  <c r="Q6" i="1"/>
  <c r="M109" i="1"/>
  <c r="N92" i="1"/>
  <c r="O92" i="1" s="1"/>
  <c r="N165" i="1"/>
  <c r="O165" i="1" s="1"/>
  <c r="Q165" i="1"/>
  <c r="S234" i="1"/>
  <c r="T109" i="1"/>
  <c r="T233" i="1"/>
  <c r="N132" i="1" l="1"/>
  <c r="O132" i="1" s="1"/>
  <c r="Q132" i="1"/>
  <c r="M230" i="1"/>
  <c r="N109" i="1"/>
  <c r="O109" i="1" s="1"/>
  <c r="T234" i="1"/>
  <c r="N173" i="1"/>
  <c r="O173" i="1" s="1"/>
  <c r="Q173" i="1"/>
  <c r="Q109" i="1"/>
  <c r="N147" i="1"/>
  <c r="O147" i="1" s="1"/>
  <c r="Q147" i="1"/>
  <c r="W233" i="1"/>
  <c r="V234" i="1"/>
  <c r="W234" i="1" s="1"/>
  <c r="M233" i="1" l="1"/>
  <c r="N230" i="1"/>
  <c r="Q230" i="1"/>
  <c r="Z234" i="1"/>
  <c r="N233" i="1" l="1"/>
  <c r="Q233" i="1"/>
  <c r="M234" i="1"/>
  <c r="N234" i="1" l="1"/>
  <c r="O234" i="1" s="1"/>
  <c r="Q234" i="1"/>
</calcChain>
</file>

<file path=xl/comments1.xml><?xml version="1.0" encoding="utf-8"?>
<comments xmlns="http://schemas.openxmlformats.org/spreadsheetml/2006/main">
  <authors>
    <author>Sarmīte Mūze</author>
  </authors>
  <commentList>
    <comment ref="H49" authorId="0" shapeId="0">
      <text>
        <r>
          <rPr>
            <b/>
            <sz val="9"/>
            <color indexed="81"/>
            <rFont val="Tahoma"/>
            <family val="2"/>
            <charset val="186"/>
          </rPr>
          <t>Sarmīte Mūze:</t>
        </r>
        <r>
          <rPr>
            <sz val="9"/>
            <color indexed="81"/>
            <rFont val="Tahoma"/>
            <family val="2"/>
            <charset val="186"/>
          </rPr>
          <t xml:space="preserve">
EUR 2'163 0910; EUR 1'306 0950</t>
        </r>
      </text>
    </comment>
    <comment ref="I49" authorId="0" shapeId="0">
      <text>
        <r>
          <rPr>
            <b/>
            <sz val="9"/>
            <color indexed="81"/>
            <rFont val="Tahoma"/>
            <family val="2"/>
            <charset val="186"/>
          </rPr>
          <t>Sarmīte Mūze:</t>
        </r>
        <r>
          <rPr>
            <sz val="9"/>
            <color indexed="81"/>
            <rFont val="Tahoma"/>
            <family val="2"/>
            <charset val="186"/>
          </rPr>
          <t xml:space="preserve">
ĀVSK 1315 skolēni EUR 24'865; ĀPII 190 skolēni EUR 3'593; KPII 68 skolēni EUR 1'286.</t>
        </r>
      </text>
    </comment>
    <comment ref="G53" authorId="0" shapeId="0">
      <text>
        <r>
          <rPr>
            <b/>
            <sz val="9"/>
            <color indexed="81"/>
            <rFont val="Tahoma"/>
            <family val="2"/>
          </rPr>
          <t>Sarmīte Mūze:</t>
        </r>
        <r>
          <rPr>
            <sz val="9"/>
            <color indexed="81"/>
            <rFont val="Tahoma"/>
            <family val="2"/>
          </rPr>
          <t xml:space="preserve">
EUR 136'105 ĀPII; EUR 48'751 KPII</t>
        </r>
      </text>
    </comment>
    <comment ref="I53" authorId="0" shapeId="0">
      <text>
        <r>
          <rPr>
            <b/>
            <sz val="9"/>
            <color indexed="81"/>
            <rFont val="Tahoma"/>
            <family val="2"/>
            <charset val="186"/>
          </rPr>
          <t>Sarmīte Mūze:</t>
        </r>
        <r>
          <rPr>
            <sz val="9"/>
            <color indexed="81"/>
            <rFont val="Tahoma"/>
            <family val="2"/>
            <charset val="186"/>
          </rPr>
          <t xml:space="preserve">
EUR 146'592 ĀPII
EUR 52'464 KPII</t>
        </r>
      </text>
    </comment>
    <comment ref="P53" authorId="0" shapeId="0">
      <text>
        <r>
          <rPr>
            <b/>
            <sz val="9"/>
            <color indexed="81"/>
            <rFont val="Tahoma"/>
            <family val="2"/>
          </rPr>
          <t>Sarmīte Mūze:</t>
        </r>
        <r>
          <rPr>
            <sz val="9"/>
            <color indexed="81"/>
            <rFont val="Tahoma"/>
            <family val="2"/>
          </rPr>
          <t xml:space="preserve">
EUR 136'105 ĀPII; EUR 48'751 KPII</t>
        </r>
      </text>
    </comment>
    <comment ref="S53" authorId="0" shapeId="0">
      <text>
        <r>
          <rPr>
            <b/>
            <sz val="9"/>
            <color indexed="81"/>
            <rFont val="Tahoma"/>
            <family val="2"/>
          </rPr>
          <t>Sarmīte Mūze:</t>
        </r>
        <r>
          <rPr>
            <sz val="9"/>
            <color indexed="81"/>
            <rFont val="Tahoma"/>
            <family val="2"/>
          </rPr>
          <t xml:space="preserve">
EUR 136'105 ĀPII; EUR 48'751 KPII</t>
        </r>
      </text>
    </comment>
    <comment ref="V53" authorId="0" shapeId="0">
      <text>
        <r>
          <rPr>
            <b/>
            <sz val="9"/>
            <color indexed="81"/>
            <rFont val="Tahoma"/>
            <family val="2"/>
          </rPr>
          <t>Sarmīte Mūze:</t>
        </r>
        <r>
          <rPr>
            <sz val="9"/>
            <color indexed="81"/>
            <rFont val="Tahoma"/>
            <family val="2"/>
          </rPr>
          <t xml:space="preserve">
EUR 136'105 ĀPII; EUR 48'751 KPII</t>
        </r>
      </text>
    </comment>
    <comment ref="L228" authorId="0" shapeId="0">
      <text>
        <r>
          <rPr>
            <b/>
            <sz val="9"/>
            <color indexed="81"/>
            <rFont val="Tahoma"/>
            <family val="2"/>
            <charset val="186"/>
          </rPr>
          <t>Sarmīte Mūze:</t>
        </r>
        <r>
          <rPr>
            <sz val="9"/>
            <color indexed="81"/>
            <rFont val="Tahoma"/>
            <family val="2"/>
            <charset val="186"/>
          </rPr>
          <t xml:space="preserve">
EUR 82'000 no DRN KA un 15'000 no februāra ieskaita 2017</t>
        </r>
      </text>
    </comment>
  </commentList>
</comments>
</file>

<file path=xl/sharedStrings.xml><?xml version="1.0" encoding="utf-8"?>
<sst xmlns="http://schemas.openxmlformats.org/spreadsheetml/2006/main" count="2667" uniqueCount="2461">
  <si>
    <t>Ādažu novada pašvaldības budžeta projekts 2016. gads</t>
  </si>
  <si>
    <t xml:space="preserve">Ieņēmumu daļa </t>
  </si>
  <si>
    <t xml:space="preserve">N.p.k. </t>
  </si>
  <si>
    <t>Sadaļa</t>
  </si>
  <si>
    <t xml:space="preserve">16.12.2014. </t>
  </si>
  <si>
    <t xml:space="preserve">12.2015. </t>
  </si>
  <si>
    <t>27.12.2016. grozījumi</t>
  </si>
  <si>
    <t>KA 31.12.2016.</t>
  </si>
  <si>
    <t>Valsts finansējums (mērķdotācijas)</t>
  </si>
  <si>
    <t>Projektu finansējums</t>
  </si>
  <si>
    <t>Aizņēmumi</t>
  </si>
  <si>
    <t>2017. ĀND</t>
  </si>
  <si>
    <t>2017. kopā</t>
  </si>
  <si>
    <t>Izmaiņas 01.2017.- 27.12.2016.</t>
  </si>
  <si>
    <t>28.03.2017. grozījumi</t>
  </si>
  <si>
    <t>Izmaiņas 28.03.2017. - 17.01.2017.</t>
  </si>
  <si>
    <t xml:space="preserve">Komentāri </t>
  </si>
  <si>
    <t>04.04.2017. grozījumi</t>
  </si>
  <si>
    <t>Izmaiņas 25.04.2017. - 28.03.2017.</t>
  </si>
  <si>
    <t>25.04.2017. grozījumi</t>
  </si>
  <si>
    <t>Izmaiņas 25.04.2017. - 04.04.2017.</t>
  </si>
  <si>
    <t>31.03.2017. fakts</t>
  </si>
  <si>
    <t>31.03.2017. fakts (%) pret 2017. plānu</t>
  </si>
  <si>
    <t>Komentāri par izpildi</t>
  </si>
  <si>
    <t>1., 2., 3., 4., 5.</t>
  </si>
  <si>
    <t>Nodokļu ieņēmumi</t>
  </si>
  <si>
    <t>Nodokļu ieņēmumu izpilde plānotā budžeta apjomā.</t>
  </si>
  <si>
    <t>1.1.1.0.</t>
  </si>
  <si>
    <t>1.</t>
  </si>
  <si>
    <t>Iedzīvotāju ienākuma nodoklis</t>
  </si>
  <si>
    <t>PB</t>
  </si>
  <si>
    <t>01.1.1.1.</t>
  </si>
  <si>
    <t>1.1.</t>
  </si>
  <si>
    <t>iepriekšējā gada</t>
  </si>
  <si>
    <t>01.1.1.2.</t>
  </si>
  <si>
    <t>1.2.</t>
  </si>
  <si>
    <t>pārskata gada</t>
  </si>
  <si>
    <t>4.1.1.0.</t>
  </si>
  <si>
    <t>2.</t>
  </si>
  <si>
    <t>Nekustamā īpašuma nodoklis par zemi</t>
  </si>
  <si>
    <t>04.1.1.1.</t>
  </si>
  <si>
    <t>2.1.</t>
  </si>
  <si>
    <t>Precizēts pēc VZD aprēķina.</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</si>
  <si>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</si>
  <si>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</si>
  <si>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</si>
  <si>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</si>
  <si>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</si>
  <si>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</si>
  <si>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</si>
  <si>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</si>
  <si>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</si>
  <si>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</si>
  <si>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</si>
  <si>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</si>
  <si>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</si>
  <si>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</si>
  <si>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</si>
  <si>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</si>
  <si>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</si>
  <si>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</si>
  <si>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05.4.1.0.</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</si>
  <si>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</si>
  <si>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</si>
  <si>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</si>
  <si>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</si>
  <si>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</si>
  <si>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</si>
  <si>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</si>
  <si>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</si>
  <si>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</si>
  <si>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</si>
  <si>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</si>
  <si>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</si>
  <si>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</si>
  <si>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r>
      <rPr>
        <sz val="10"/>
        <color indexed="9"/>
        <rFont val="Times New Roman"/>
        <family val="1"/>
        <charset val="186"/>
      </rPr>
      <t>t.sk.:</t>
    </r>
    <r>
      <rPr>
        <sz val="10"/>
        <rFont val="Times New Roman"/>
        <family val="1"/>
        <charset val="186"/>
      </rPr>
      <t xml:space="preserve"> - par civilstāvokļa aktu reģistrēšanu, grozīšanu un papildināšanu</t>
    </r>
  </si>
  <si>
    <t>09.4.9.0.</t>
  </si>
  <si>
    <t>6.1.3.</t>
  </si>
  <si>
    <r>
      <rPr>
        <sz val="10"/>
        <color indexed="9"/>
        <rFont val="Times New Roman"/>
        <family val="1"/>
        <charset val="186"/>
      </rPr>
      <t xml:space="preserve">t.sk.: </t>
    </r>
    <r>
      <rPr>
        <sz val="10"/>
        <rFont val="Times New Roman"/>
        <family val="1"/>
        <charset val="186"/>
      </rPr>
      <t>- pārējās valsts nodevas, kuras ieskaita pašvaldību budžetā</t>
    </r>
  </si>
  <si>
    <t>9.5.0.0.</t>
  </si>
  <si>
    <t>6.2.</t>
  </si>
  <si>
    <t>pašvaldību nodevas</t>
  </si>
  <si>
    <t>09.5.1.1.</t>
  </si>
  <si>
    <t>6.2.1.</t>
  </si>
  <si>
    <t>t.sk.: - nodeva par domes izstrādāto oficiālo dokumentu saņemšanu</t>
  </si>
  <si>
    <t>09.5.1.4.</t>
  </si>
  <si>
    <t>6.2.2.</t>
  </si>
  <si>
    <r>
      <t>t.sk.:</t>
    </r>
    <r>
      <rPr>
        <sz val="10"/>
        <rFont val="Times New Roman"/>
        <family val="1"/>
        <charset val="186"/>
      </rPr>
      <t xml:space="preserve"> - nodeva par tirdzniecību publiskās vietās</t>
    </r>
  </si>
  <si>
    <t>09.5.1.5.</t>
  </si>
  <si>
    <t>6.2.3.</t>
  </si>
  <si>
    <r>
      <rPr>
        <sz val="10"/>
        <color indexed="9"/>
        <rFont val="Times New Roman"/>
        <family val="1"/>
        <charset val="186"/>
      </rPr>
      <t>t.sk.:</t>
    </r>
    <r>
      <rPr>
        <sz val="10"/>
        <rFont val="Times New Roman"/>
        <family val="1"/>
        <charset val="186"/>
      </rPr>
      <t xml:space="preserve"> - nodeva par dzīvnieku turēšanu</t>
    </r>
  </si>
  <si>
    <t>09.5.1.7.</t>
  </si>
  <si>
    <t>6.2.4.</t>
  </si>
  <si>
    <r>
      <rPr>
        <sz val="10"/>
        <color indexed="9"/>
        <rFont val="Times New Roman"/>
        <family val="1"/>
        <charset val="186"/>
      </rPr>
      <t>t.sk.:</t>
    </r>
    <r>
      <rPr>
        <sz val="10"/>
        <rFont val="Times New Roman"/>
        <family val="1"/>
        <charset val="186"/>
      </rPr>
      <t xml:space="preserve"> - nodeva par reklāmas, afišu un sludinājumu izvietošanu publiskās vietās</t>
    </r>
  </si>
  <si>
    <t>09.5.2.1.</t>
  </si>
  <si>
    <t>6.2.5.</t>
  </si>
  <si>
    <r>
      <rPr>
        <sz val="10"/>
        <color indexed="9"/>
        <rFont val="Times New Roman"/>
        <family val="1"/>
        <charset val="186"/>
      </rPr>
      <t>t.sk.:</t>
    </r>
    <r>
      <rPr>
        <sz val="10"/>
        <rFont val="Times New Roman"/>
        <family val="1"/>
        <charset val="186"/>
      </rPr>
      <t xml:space="preserve"> - nodeva par būvatļaujas saņemšanu</t>
    </r>
  </si>
  <si>
    <t>09.5.2.9.</t>
  </si>
  <si>
    <t>6.2.6.</t>
  </si>
  <si>
    <r>
      <rPr>
        <sz val="10"/>
        <color indexed="9"/>
        <rFont val="Times New Roman"/>
        <family val="1"/>
        <charset val="186"/>
      </rPr>
      <t>t.sk.:</t>
    </r>
    <r>
      <rPr>
        <sz val="10"/>
        <rFont val="Times New Roman"/>
        <family val="1"/>
        <charset val="186"/>
      </rPr>
      <t xml:space="preserve"> - pārējās nodevas</t>
    </r>
  </si>
  <si>
    <t>10.0.0.0.</t>
  </si>
  <si>
    <t>7.</t>
  </si>
  <si>
    <t>Naudas sodi un sankcijas</t>
  </si>
  <si>
    <t>Izpilde mazāka par plānoto. Taču summa nav būtiska.</t>
  </si>
  <si>
    <t>10.1.4.0.</t>
  </si>
  <si>
    <t>7.1.</t>
  </si>
  <si>
    <t>10.1.5.0.</t>
  </si>
  <si>
    <t>7.2.</t>
  </si>
  <si>
    <t>Naudas sodi, ko uzliek par pārkāpumiem ceļu satiksmē</t>
  </si>
  <si>
    <t>10.3.0.0.</t>
  </si>
  <si>
    <t>Soda sankcijas par vispārējiem nodokļu maksāšanas pārkāpumiem</t>
  </si>
  <si>
    <t>12.0.0.0.</t>
  </si>
  <si>
    <t>8.</t>
  </si>
  <si>
    <t>Pārējie nenodokļu ieņēmumi</t>
  </si>
  <si>
    <t>12.3.0.0.; 8.3.9.0.</t>
  </si>
  <si>
    <t>8.1.</t>
  </si>
  <si>
    <t>citi nenodokļu ieņēmumi</t>
  </si>
  <si>
    <t>EUR 14 827 izmaksājot dividendēs pašvaldībai ar mērķi: EUR 3 025 siltumtrašu izbūves no katlu mājas Attekas iela 43 līdz Gaujas ielai 16 būvprojekta izstrādes apmaksai (iekļauts Attekas ielas projekta izdevumos), EUR 11 802 daudzdzīvokļu dzīvojamo māju energoefektivitātes pasākumu veikšanai un pagalmu labiekārtošanai</t>
  </si>
  <si>
    <t>Aprīļa grozījumi.</t>
  </si>
  <si>
    <t>12.3.9.5.</t>
  </si>
  <si>
    <t>8.2.</t>
  </si>
  <si>
    <t>līgumsodi un procentu maksājumi par saistību neizpildi</t>
  </si>
  <si>
    <t>08.1.1.5.</t>
  </si>
  <si>
    <t>8.3.</t>
  </si>
  <si>
    <t>pašvaldības ieņēmumi no kapitāldaļu pārdošanas</t>
  </si>
  <si>
    <t>13.1.0.0.</t>
  </si>
  <si>
    <t>9.</t>
  </si>
  <si>
    <t>Ieņēmumi no pašvaldības īpašuma pārdošana</t>
  </si>
  <si>
    <t>9.1.</t>
  </si>
  <si>
    <t>zemes īpašuma pārdošana</t>
  </si>
  <si>
    <t>13.4.0.0.</t>
  </si>
  <si>
    <t>9.2.</t>
  </si>
  <si>
    <t>pašvaldības mantas realizācija</t>
  </si>
  <si>
    <t>10.</t>
  </si>
  <si>
    <t>Valsts budžeta transferti</t>
  </si>
  <si>
    <t>mērķdotācija</t>
  </si>
  <si>
    <t>18.6.2.3.</t>
  </si>
  <si>
    <t>10.1.</t>
  </si>
  <si>
    <t>dotācija mākslas skolas algām</t>
  </si>
  <si>
    <t>18.6.2.4.</t>
  </si>
  <si>
    <t>10.2.</t>
  </si>
  <si>
    <t>dotācija sporta skolai</t>
  </si>
  <si>
    <t>18.6.2.6.</t>
  </si>
  <si>
    <t>10.3.</t>
  </si>
  <si>
    <t>dotācija skolēnu ēdināšanai</t>
  </si>
  <si>
    <t>10.3.1.</t>
  </si>
  <si>
    <r>
      <rPr>
        <sz val="11"/>
        <color indexed="9"/>
        <rFont val="Times New Roman"/>
        <family val="1"/>
        <charset val="186"/>
      </rPr>
      <t xml:space="preserve">t.sk.: </t>
    </r>
    <r>
      <rPr>
        <sz val="11"/>
        <rFont val="Times New Roman"/>
        <family val="1"/>
        <charset val="186"/>
      </rPr>
      <t>dotācija 1.-3. klases skolēnu ēdināšanai</t>
    </r>
  </si>
  <si>
    <t>10.3.2.</t>
  </si>
  <si>
    <r>
      <rPr>
        <sz val="11"/>
        <color indexed="9"/>
        <rFont val="Times New Roman"/>
        <family val="1"/>
        <charset val="186"/>
      </rPr>
      <t xml:space="preserve">t.sk.: </t>
    </r>
    <r>
      <rPr>
        <sz val="11"/>
        <rFont val="Times New Roman"/>
        <family val="1"/>
        <charset val="186"/>
      </rPr>
      <t>dotācija 1.-3. klases skolēnu ēdināšanai - Valdorfskola</t>
    </r>
  </si>
  <si>
    <t>18.6.2.5.</t>
  </si>
  <si>
    <t>10.4.</t>
  </si>
  <si>
    <t>dotācija mācību grāmatām</t>
  </si>
  <si>
    <t>10.4.1.</t>
  </si>
  <si>
    <t>t.sk.: - mācību līdzekļi piecgadīgo bērnu apmācība</t>
  </si>
  <si>
    <t>10.4.2.</t>
  </si>
  <si>
    <t>t.sk.: - mācību līdzekļi vispārīgā izglītība</t>
  </si>
  <si>
    <t>18.6.2.0.</t>
  </si>
  <si>
    <t>10.5.</t>
  </si>
  <si>
    <t>dotācijas pedagogu algām (vsk., PII)</t>
  </si>
  <si>
    <t>18.6.2.2.</t>
  </si>
  <si>
    <t>10.5.1.</t>
  </si>
  <si>
    <t>t.sk.: - piecgadīgo bērnu apmācība</t>
  </si>
  <si>
    <t>18.6.2.1.</t>
  </si>
  <si>
    <t>10.5.2.</t>
  </si>
  <si>
    <r>
      <rPr>
        <sz val="10"/>
        <color indexed="9"/>
        <rFont val="Times New Roman"/>
        <family val="1"/>
        <charset val="186"/>
      </rPr>
      <t xml:space="preserve">t.sk.: </t>
    </r>
    <r>
      <rPr>
        <sz val="10"/>
        <rFont val="Times New Roman"/>
        <family val="1"/>
        <charset val="186"/>
      </rPr>
      <t>- skolotāju algām</t>
    </r>
  </si>
  <si>
    <t>10.5.3.</t>
  </si>
  <si>
    <r>
      <rPr>
        <sz val="10"/>
        <color indexed="9"/>
        <rFont val="Times New Roman"/>
        <family val="1"/>
        <charset val="186"/>
      </rPr>
      <t xml:space="preserve">t.sk.: </t>
    </r>
    <r>
      <rPr>
        <sz val="10"/>
        <rFont val="Times New Roman"/>
        <family val="1"/>
        <charset val="186"/>
      </rPr>
      <t>- interešu izglītība</t>
    </r>
  </si>
  <si>
    <t>10.6.</t>
  </si>
  <si>
    <t>dotācija bibliotēkai-internets</t>
  </si>
  <si>
    <t>dotācija Izglītības programmām</t>
  </si>
  <si>
    <t>18.6.3.7.</t>
  </si>
  <si>
    <t>10.6.1.</t>
  </si>
  <si>
    <t>t.sk.: - dotācija Izglītības Sadarbības Programmai "Comenius"</t>
  </si>
  <si>
    <t>18.6.2.9.</t>
  </si>
  <si>
    <t>10.6.2.</t>
  </si>
  <si>
    <r>
      <rPr>
        <sz val="10"/>
        <color indexed="9"/>
        <rFont val="Times New Roman"/>
        <family val="1"/>
        <charset val="186"/>
      </rPr>
      <t xml:space="preserve">t.sk.: </t>
    </r>
    <r>
      <rPr>
        <sz val="10"/>
        <rFont val="Times New Roman"/>
        <family val="1"/>
        <charset val="186"/>
      </rPr>
      <t>- projekts "Sporta inventāra iegāde mācību priekšmeta "Sports" standarta īstenošanai izglītības iestādē"</t>
    </r>
  </si>
  <si>
    <t>10.7.</t>
  </si>
  <si>
    <t>dotācija kultūras pasākumu nodrošināšanai</t>
  </si>
  <si>
    <t>GMI_bija</t>
  </si>
  <si>
    <t>18.6.2.8.</t>
  </si>
  <si>
    <t>10.8.</t>
  </si>
  <si>
    <t>dotācija dzesētavām</t>
  </si>
  <si>
    <t>18.6.3.1.</t>
  </si>
  <si>
    <t>10.9.</t>
  </si>
  <si>
    <r>
      <t xml:space="preserve">dotācija nodarbinātības pasākumiem - </t>
    </r>
    <r>
      <rPr>
        <b/>
        <sz val="11"/>
        <color indexed="10"/>
        <rFont val="Times New Roman"/>
        <family val="1"/>
        <charset val="186"/>
      </rPr>
      <t>šis 2015.jāliek zem ES struktūrf. Līdz.</t>
    </r>
  </si>
  <si>
    <t>18.6.2.7.</t>
  </si>
  <si>
    <t>dotācija asistenta pakalpojumu nodrošināšanai</t>
  </si>
  <si>
    <t>pārējās dotācijas</t>
  </si>
  <si>
    <t>VB dotācija KAC uzturēšanai un pilnveidošanai EUR 9'660</t>
  </si>
  <si>
    <t>Zivju fonda padomes 03.04.2017. lēmums par zivju resursu pavairošanas projekta atbalstu EUR 7'446 apmērā,</t>
  </si>
  <si>
    <t>10.12.</t>
  </si>
  <si>
    <t>Iestāžu uzturēšanas izdevumu transferts</t>
  </si>
  <si>
    <t>10.10.</t>
  </si>
  <si>
    <t>ES struktūrfondu līdzekļi</t>
  </si>
  <si>
    <t>Projektu finansējumi plānoti uz gada otro pusi.</t>
  </si>
  <si>
    <t>Projekts</t>
  </si>
  <si>
    <t>21.1.9.2.</t>
  </si>
  <si>
    <t>10.10.1.</t>
  </si>
  <si>
    <r>
      <rPr>
        <sz val="11"/>
        <color indexed="9"/>
        <rFont val="Times New Roman"/>
        <family val="1"/>
        <charset val="186"/>
      </rPr>
      <t xml:space="preserve">t.sk.: </t>
    </r>
    <r>
      <rPr>
        <sz val="11"/>
        <rFont val="Times New Roman"/>
        <family val="1"/>
        <charset val="186"/>
      </rPr>
      <t>Norvēģu finanšu instruments</t>
    </r>
  </si>
  <si>
    <t>10.10.2.</t>
  </si>
  <si>
    <r>
      <rPr>
        <sz val="11"/>
        <color indexed="9"/>
        <rFont val="Times New Roman"/>
        <family val="1"/>
        <charset val="186"/>
      </rPr>
      <t xml:space="preserve">t.sk.:   </t>
    </r>
    <r>
      <rPr>
        <sz val="11"/>
        <rFont val="Times New Roman"/>
        <family val="1"/>
        <charset val="186"/>
      </rPr>
      <t>Dotācija nodarbinātības pasākumiem</t>
    </r>
  </si>
  <si>
    <t>18.6.9.0.</t>
  </si>
  <si>
    <t>10.10.3.</t>
  </si>
  <si>
    <r>
      <rPr>
        <sz val="11"/>
        <color indexed="9"/>
        <rFont val="Times New Roman"/>
        <family val="1"/>
        <charset val="186"/>
      </rPr>
      <t>t.sk.:</t>
    </r>
    <r>
      <rPr>
        <sz val="11"/>
        <rFont val="Times New Roman"/>
        <family val="1"/>
        <charset val="186"/>
      </rPr>
      <t xml:space="preserve"> LEADER</t>
    </r>
  </si>
  <si>
    <t>18.6.3.6.</t>
  </si>
  <si>
    <t>10.10.4.</t>
  </si>
  <si>
    <r>
      <rPr>
        <sz val="11"/>
        <color indexed="9"/>
        <rFont val="Times New Roman"/>
        <family val="1"/>
        <charset val="186"/>
      </rPr>
      <t xml:space="preserve">t.sk.: </t>
    </r>
    <r>
      <rPr>
        <sz val="11"/>
        <rFont val="Times New Roman"/>
        <family val="1"/>
        <charset val="186"/>
      </rPr>
      <t>Plūdu risku projekts</t>
    </r>
  </si>
  <si>
    <t>10.10.5.</t>
  </si>
  <si>
    <r>
      <rPr>
        <sz val="11"/>
        <color theme="0"/>
        <rFont val="Times New Roman"/>
        <family val="1"/>
        <charset val="186"/>
      </rPr>
      <t>t.sk.:</t>
    </r>
    <r>
      <rPr>
        <sz val="11"/>
        <rFont val="Times New Roman"/>
        <family val="1"/>
        <charset val="186"/>
      </rPr>
      <t xml:space="preserve"> Muižas ielas rekonstrukcija</t>
    </r>
  </si>
  <si>
    <t>2016.gada novembrī iesniegts projekta pieteikums CFLA, sagatavota tehniskā specifikācija būvdarbu iepirkumu procedūras uzsākšanai, 07.04.2017.g. noslēdzies iepirkums uz būvuzraudzību (SIA "Baltline Globe" - 16730,00) un gaidām pārsūdzības t.beigas attiecībā uz būvdarbu iepirkumu, līdz 28.04.2017. ir jāiensiedz precizēts projekta pieteikums CFLA.</t>
  </si>
  <si>
    <t>10.10.6.</t>
  </si>
  <si>
    <r>
      <rPr>
        <sz val="11"/>
        <color theme="0"/>
        <rFont val="Times New Roman"/>
        <family val="1"/>
        <charset val="186"/>
      </rPr>
      <t xml:space="preserve">t.sk.: </t>
    </r>
    <r>
      <rPr>
        <sz val="11"/>
        <rFont val="Times New Roman"/>
        <family val="1"/>
        <charset val="186"/>
      </rPr>
      <t>SAM 4.2.2. ĀPII siltināšanas projekts</t>
    </r>
  </si>
  <si>
    <t>Precizēta projekta naudas plūsma. Nauda ienāks 2018.gadā.</t>
  </si>
  <si>
    <t>10.10.7.</t>
  </si>
  <si>
    <r>
      <rPr>
        <sz val="11"/>
        <color theme="0"/>
        <rFont val="Times New Roman"/>
        <family val="1"/>
        <charset val="186"/>
      </rPr>
      <t xml:space="preserve">t.sk.: </t>
    </r>
    <r>
      <rPr>
        <sz val="11"/>
        <rFont val="Times New Roman"/>
        <family val="1"/>
        <charset val="186"/>
      </rPr>
      <t>SAM 4.2.2. Gaujas 16</t>
    </r>
  </si>
  <si>
    <t>10.10.8.</t>
  </si>
  <si>
    <r>
      <rPr>
        <sz val="11"/>
        <color theme="0"/>
        <rFont val="Times New Roman"/>
        <family val="1"/>
        <charset val="186"/>
      </rPr>
      <t>t.sk.:</t>
    </r>
    <r>
      <rPr>
        <sz val="11"/>
        <rFont val="Times New Roman"/>
        <family val="1"/>
        <charset val="186"/>
      </rPr>
      <t xml:space="preserve"> LAD projekts Laveru ceļš</t>
    </r>
  </si>
  <si>
    <t>10.10.9.</t>
  </si>
  <si>
    <r>
      <rPr>
        <sz val="11"/>
        <color theme="0"/>
        <rFont val="Times New Roman"/>
        <family val="1"/>
        <charset val="186"/>
      </rPr>
      <t xml:space="preserve">t.sk.: </t>
    </r>
    <r>
      <rPr>
        <sz val="11"/>
        <rFont val="Times New Roman"/>
        <family val="1"/>
        <charset val="186"/>
      </rPr>
      <t>SAM 9.2.4.2. projekts "Pasākumi vietējās sabiedrības veselības veicināšanai Ādažu novadā"</t>
    </r>
  </si>
  <si>
    <t>13.04. iesniegts avansa pieprasījums. Pēec tam būs starpmaksājumi.</t>
  </si>
  <si>
    <t>10.10.10.</t>
  </si>
  <si>
    <r>
      <rPr>
        <sz val="11"/>
        <color indexed="9"/>
        <rFont val="Times New Roman"/>
        <family val="1"/>
        <charset val="186"/>
      </rPr>
      <t>t.sk.:</t>
    </r>
    <r>
      <rPr>
        <sz val="11"/>
        <rFont val="Times New Roman"/>
        <family val="1"/>
        <charset val="186"/>
      </rPr>
      <t xml:space="preserve"> Izglītības Sadarbības Programma "Comenius"</t>
    </r>
  </si>
  <si>
    <t>11.</t>
  </si>
  <si>
    <t>Pašvaldību budžeta transferti</t>
  </si>
  <si>
    <t>19.2.1.0.</t>
  </si>
  <si>
    <t>11.1.</t>
  </si>
  <si>
    <t>no citām pašvaldībām izglītības funkciju nodrošināšanai</t>
  </si>
  <si>
    <t>Rēķini tiek izrakstīti reizi ceturksnī. Par 1.o ceturksni samaksas termiņš aprīļa beigās.</t>
  </si>
  <si>
    <t>Transferti</t>
  </si>
  <si>
    <t>11.1.1.</t>
  </si>
  <si>
    <t>t.sk.: ĀBVS PII</t>
  </si>
  <si>
    <t>11.2.</t>
  </si>
  <si>
    <t>kultūras funkciju nodrošināšanai (Dziesmu svētki)</t>
  </si>
  <si>
    <t>12.</t>
  </si>
  <si>
    <t>Budžeta iestāžu ieņēmumi</t>
  </si>
  <si>
    <t>21.3.5.0.</t>
  </si>
  <si>
    <t>12.1.</t>
  </si>
  <si>
    <t>maksa par izglītības pakalpojumiem</t>
  </si>
  <si>
    <t>21.3.5.1.</t>
  </si>
  <si>
    <t>12.1.1.</t>
  </si>
  <si>
    <t>t.sk.: mācību maksa (PII pulciņi)</t>
  </si>
  <si>
    <t>21.3.5.2.</t>
  </si>
  <si>
    <t>12.1.2.</t>
  </si>
  <si>
    <r>
      <rPr>
        <sz val="11"/>
        <color indexed="9"/>
        <rFont val="Times New Roman"/>
        <family val="1"/>
        <charset val="186"/>
      </rPr>
      <t>t.sk.:</t>
    </r>
    <r>
      <rPr>
        <sz val="11"/>
        <rFont val="Times New Roman"/>
        <family val="1"/>
        <charset val="186"/>
      </rPr>
      <t xml:space="preserve"> ieņēmumi no vecāku maksām (ĀBJSS)</t>
    </r>
  </si>
  <si>
    <t>21.3.5.9.</t>
  </si>
  <si>
    <t>12.1.3.</t>
  </si>
  <si>
    <r>
      <rPr>
        <sz val="11"/>
        <color indexed="9"/>
        <rFont val="Times New Roman"/>
        <family val="1"/>
        <charset val="186"/>
      </rPr>
      <t xml:space="preserve">t.sk.: </t>
    </r>
    <r>
      <rPr>
        <sz val="11"/>
        <rFont val="Times New Roman"/>
        <family val="1"/>
        <charset val="186"/>
      </rPr>
      <t>pārējie ieņēmumi par izglītības pakalpojumiem (PII baseins)</t>
    </r>
  </si>
  <si>
    <t>21.3.8.0.</t>
  </si>
  <si>
    <t>12.2.</t>
  </si>
  <si>
    <t>ieņēmumi par nomu un īri</t>
  </si>
  <si>
    <t>21.3.8.1.</t>
  </si>
  <si>
    <t>12.2.1.</t>
  </si>
  <si>
    <t>t.sk.: ieņēmumi par telpu nomu</t>
  </si>
  <si>
    <t>21.3.8.4.</t>
  </si>
  <si>
    <t>12.2.2.</t>
  </si>
  <si>
    <r>
      <rPr>
        <sz val="11"/>
        <color indexed="9"/>
        <rFont val="Times New Roman"/>
        <family val="1"/>
        <charset val="186"/>
      </rPr>
      <t>t.sk.:</t>
    </r>
    <r>
      <rPr>
        <sz val="11"/>
        <rFont val="Times New Roman"/>
        <family val="1"/>
        <charset val="186"/>
      </rPr>
      <t xml:space="preserve"> ieņēmumi par zemes nomu</t>
    </r>
  </si>
  <si>
    <t>21.3.8.9.</t>
  </si>
  <si>
    <t>12.2.3.</t>
  </si>
  <si>
    <r>
      <rPr>
        <sz val="11"/>
        <color indexed="9"/>
        <rFont val="Times New Roman"/>
        <family val="1"/>
        <charset val="186"/>
      </rPr>
      <t>t.sk.:</t>
    </r>
    <r>
      <rPr>
        <sz val="11"/>
        <rFont val="Times New Roman"/>
        <family val="1"/>
        <charset val="186"/>
      </rPr>
      <t xml:space="preserve"> pārējie ieņēmumi par nomu un īri</t>
    </r>
  </si>
  <si>
    <t>21.3.9.0.</t>
  </si>
  <si>
    <t>12.3.</t>
  </si>
  <si>
    <t>budžeta iestāžu maksas pakalpojumi</t>
  </si>
  <si>
    <t>21.4.9.9.</t>
  </si>
  <si>
    <t>12.4.</t>
  </si>
  <si>
    <t>pārējie ieņēmumi</t>
  </si>
  <si>
    <t>Līgums "Par kiberjaunsardzes mācību procesa nodrošināšanu", EUR 300*9mēn.=2'700. Šie izdevumi caur Ādažu vidusskolu.</t>
  </si>
  <si>
    <t>KOPĀ IEŅĒMUMI:</t>
  </si>
  <si>
    <t>13.</t>
  </si>
  <si>
    <t>Naudas līdzekļu atlikums gada sākumā</t>
  </si>
  <si>
    <t>13.1.</t>
  </si>
  <si>
    <t>Naudas atlikums iezīmētiem mērķiem</t>
  </si>
  <si>
    <t>13.2.</t>
  </si>
  <si>
    <t>Naudas atlikums pašvaldības līdzekļi</t>
  </si>
  <si>
    <t>Precizēts konta atlikums, nauda ceļā.</t>
  </si>
  <si>
    <t xml:space="preserve">14. </t>
  </si>
  <si>
    <t>Valsts Kases kredīti</t>
  </si>
  <si>
    <t>14.1.</t>
  </si>
  <si>
    <t>budžeta un finanšu vadībai</t>
  </si>
  <si>
    <t>investīcijām</t>
  </si>
  <si>
    <t>14.1.1.</t>
  </si>
  <si>
    <t>Gaujas ielas rekonstrukcija</t>
  </si>
  <si>
    <t>Precizēts aizņēmuma līgums. Likums par budžetu pieļauj aizņēmumu 75% apjomā no tekošā gada projekta izmaksām.</t>
  </si>
  <si>
    <t>Iesniegts aizņēmuma daļas pieteikums FM aizdevumu komisijā.</t>
  </si>
  <si>
    <t>14.1.2.</t>
  </si>
  <si>
    <t>Attekas ielas būvniecība</t>
  </si>
  <si>
    <t>14.1.3.</t>
  </si>
  <si>
    <t>Skolas būvniecība</t>
  </si>
  <si>
    <t>2016.g. apstiprināts projekta idejas koncepts un uzsākta projektēšana, kas turpinās līdz 06.2017. un šogad plānots izsludināt iepirkumu uz būvdarbiem, projekta iensiegums ir jāiesniedz CFLA līdz 11.2017. Aizņēmumu būvniecībai varam ņemt pēc iepirkuma noslēgšanās. Aizņēmuma atlikusī daļa projektēšanai tiks izņemta 2017.gada maijā.</t>
  </si>
  <si>
    <t>14.1.4.</t>
  </si>
  <si>
    <t>Muižas ielas rekonstrukcija</t>
  </si>
  <si>
    <t>Aizņēmuma dokumentācija tiks gatavota pēc līguma noslēgšanu par ERAF projekta realizāciju un līdzfinansējumu.</t>
  </si>
  <si>
    <t>14.1.5.</t>
  </si>
  <si>
    <t>Ataru ceļa rekonstrukcija</t>
  </si>
  <si>
    <t>14.1.6.</t>
  </si>
  <si>
    <t>SAM 4.2.2. ĀPII</t>
  </si>
  <si>
    <t>Precizēta projekta naudas plūsma.</t>
  </si>
  <si>
    <t>2017.g. noslēdzies iepirkums uz projektēšanu un uz aprīļa Domes sēdi sagatavots lēmuma projekts par aizdevumu projektēšanai, līgums  projektēšanu tiks slēgts š.g. maijā ar SIA "Grand Eko" pa EUR 20933 un projekta iesniegums ir jāiesniedz CFLA līdz 11.2017. Pānots šogad izslsudināt iepirkumu uz būvdarbiem.</t>
  </si>
  <si>
    <t>14.1.7.</t>
  </si>
  <si>
    <t>SAM 4.2.2. Gaujas 16</t>
  </si>
  <si>
    <t>14.1.8.</t>
  </si>
  <si>
    <t>LAD projekts Laveru ceļš</t>
  </si>
  <si>
    <t>14.1.9.</t>
  </si>
  <si>
    <t>SAM 5.1.1. Pretplūdu pasākumi Ādažu centra polderī, Ādažu novadā (I kārta)</t>
  </si>
  <si>
    <t>14.1.10.</t>
  </si>
  <si>
    <t>Ādažu vidusskolas remonts</t>
  </si>
  <si>
    <t>Likums par budžetu pieļauj aizņēmumu izglītības iestāžu investīciju projektiem - skolas remonts.</t>
  </si>
  <si>
    <t>PAVISAM KOPĀ IEŅĒMUMI:</t>
  </si>
  <si>
    <t xml:space="preserve">Izdevumu daļa </t>
  </si>
  <si>
    <t>16.12.2014. grozījumi</t>
  </si>
  <si>
    <t>12.2015. grozījumi</t>
  </si>
  <si>
    <t>KA 31.12.2015.</t>
  </si>
  <si>
    <t>Valsts finansējums ( mērķdotācijas)</t>
  </si>
  <si>
    <t>2016. ĀND</t>
  </si>
  <si>
    <t>Vispārējie valdības dienesti</t>
  </si>
  <si>
    <t>pārvalde</t>
  </si>
  <si>
    <t>deputāti</t>
  </si>
  <si>
    <t>1.3.</t>
  </si>
  <si>
    <t>administratīvā komisija</t>
  </si>
  <si>
    <t>1.4.</t>
  </si>
  <si>
    <t>iepirkumu komisija</t>
  </si>
  <si>
    <t>1.5.</t>
  </si>
  <si>
    <t>vēlēšanu komisija</t>
  </si>
  <si>
    <t>Lielākais stundu skaits vēlēšanu dienās.</t>
  </si>
  <si>
    <t>1.6.</t>
  </si>
  <si>
    <t xml:space="preserve">nepilngadīgo lietu  komisija </t>
  </si>
  <si>
    <t>1.7.</t>
  </si>
  <si>
    <t>pārējās komisijas</t>
  </si>
  <si>
    <t>1.8.</t>
  </si>
  <si>
    <t>aizņēmumu procentu maksājumi</t>
  </si>
  <si>
    <t>Precizēts, balstoties uz aizņēmumu precizējumiem.</t>
  </si>
  <si>
    <t>Precizēts aizņēmumu apjoms termiņos</t>
  </si>
  <si>
    <t>% likme budžetā ar rezervi. Likmes maiņas periodsjūlijs - oktobris.</t>
  </si>
  <si>
    <t>1.9.</t>
  </si>
  <si>
    <t>Iemaksas PFIF</t>
  </si>
  <si>
    <t>Pārējie vispārēja rakstura transferti</t>
  </si>
  <si>
    <t>Izdevumi neparedzētiem gadījumiem</t>
  </si>
  <si>
    <t>Sabiedriskā kārtība un drošība</t>
  </si>
  <si>
    <t>Ādažu glābšanas dienests</t>
  </si>
  <si>
    <t>Ādažu pašvaldības policija</t>
  </si>
  <si>
    <t>Sabiedriskās attiecības, laikraksts</t>
  </si>
  <si>
    <t>Pašvaldības teritoriju un mājokļu apsaimniekošana</t>
  </si>
  <si>
    <t>Lielie projekti.</t>
  </si>
  <si>
    <t>5.1.</t>
  </si>
  <si>
    <t>Būvvalde</t>
  </si>
  <si>
    <t>Degvielas kompensācija un auto amortizācija būvvaldes inspektoram</t>
  </si>
  <si>
    <t>Teritorijas plānojums nav noslēdzis, līgums noslēgts jau 2016.gadā.</t>
  </si>
  <si>
    <t>5.2.</t>
  </si>
  <si>
    <t>Attīstības un informācijas daļa</t>
  </si>
  <si>
    <t>5.2.1.</t>
  </si>
  <si>
    <t>nodaļa</t>
  </si>
  <si>
    <t>5.2.2.</t>
  </si>
  <si>
    <t>Saskaņots būvprojekts, būvdarbu iepirkuma izsludināšana</t>
  </si>
  <si>
    <t xml:space="preserve"> Tirgus laukuma rekonstrukcija</t>
  </si>
  <si>
    <t>5.2.4.</t>
  </si>
  <si>
    <t>Draudzības ielas rekonstrukcija</t>
  </si>
  <si>
    <t>Tehniskā projekta izstrāde un būvniecība (gājēju celiņš un apgaismojums) Gaujas ielas posmam (skola – Remarka ciemats)</t>
  </si>
  <si>
    <t>Ir uzsākta Loka ielas 2 Nekustamā īpašuma daļas atsavināšana sabiedrības vajadzībām, kur līdz 24.07.2015. gaida atbildi no īpašnieka par pieprasīto informāciju. Tas būs tas mirklis, kad izšķirsies, vai būs iespēja realizēt projektu, vai arī atsavināšanas process iesaldēs projekta ieceri uz 1-2 gadiem.</t>
  </si>
  <si>
    <t>Līgo laukuma labiekārtošana</t>
  </si>
  <si>
    <t xml:space="preserve">Plūdu risku projekta </t>
  </si>
  <si>
    <t>5.2.3.</t>
  </si>
  <si>
    <t>SAM 3.3.1. Infrastrukntūras projekts - Muižas ielas rekonstrukcija</t>
  </si>
  <si>
    <t xml:space="preserve">2016.gada novembrī iesniegts projekta pieteikums CFLA, sagatavota tehniskā specifikācija būvdarbu iepirkumu procedūras uzsākšanai, 07.04.2017.g. noslēdzies iepirkums uz būvuzraudzību (SIA "Baltline Globe" - 16730,00) un gaidām pārsūdzības t.beigas attiecībā uz būvdarbu iepirkumu, līdz 28.04.2017. ir jāiensiedz precizēts projekta pieteikums CFLA
</t>
  </si>
  <si>
    <t>SAM 3.3.1. Infrastruktūras projekts Attaru ceļa rekonstrukcija</t>
  </si>
  <si>
    <t>5.2.5.</t>
  </si>
  <si>
    <t>2016.g. apstiprināts projekta idejas koncepts, 2017.g. noslēdzies iepirkums uz projektēšanu un uz aprīļa Domes sēdi sagatavots lēmuma projekts par aizdevumu projektēšanai, līgums  projektēšanu tiks slēgts š.g. maijā ar SIA "Grand Eko" pa EUR 20933 un projekta iesniegums ir jāiesniedz CFLA līdz 11.2017. Pānots šogad izslsudināt iepirkumu uz būvdarbiem</t>
  </si>
  <si>
    <t>5.2.6.</t>
  </si>
  <si>
    <t>5.2.7.</t>
  </si>
  <si>
    <t>SAM 9.2.4.2. projekts "Pasākumi vietējās sabiedrības veselības veicināšanai Ādažu novadā"</t>
  </si>
  <si>
    <t>projekta līguma slēgšana un aktivitāšu īstenošana</t>
  </si>
  <si>
    <t>5.3.</t>
  </si>
  <si>
    <t>Objektu un teritorijas apsaimniekošana un uzturēšana</t>
  </si>
  <si>
    <t>5.3.1.</t>
  </si>
  <si>
    <t>Saimniecības un infrastruktūras daļa</t>
  </si>
  <si>
    <t>1. Iekšējā resursu pārdale. Noslēdzies Kadagas ceļa remonta iepirkums EUR 53'239,38 (ar PVN) (plānā bija EUR 50'000) . EUR 3'240 no 0648/2279 (Energopārvaldes ISO (darīs paši) uz 0649/5250 (Kadagas ceļa remonts). 2. Vārpu ielas projektēšanai EUR 2'500 18.04.2017. lēmums. 3. Zivju fonda padomes 03.04.2017. lēmums par zivju resursu pavairošanas projekta atbalstu EUR 7'446 apmērā.</t>
  </si>
  <si>
    <t>5.3.2.</t>
  </si>
  <si>
    <t>Notiek būvdarbi pēc plāna</t>
  </si>
  <si>
    <t>5.3.3.</t>
  </si>
  <si>
    <t>LAD grants ceļu projekts</t>
  </si>
  <si>
    <t>5.3.4.</t>
  </si>
  <si>
    <t>5.3.5.</t>
  </si>
  <si>
    <t>LAD C+Ā meliorācijas projekts</t>
  </si>
  <si>
    <t>5.3.6.</t>
  </si>
  <si>
    <t>Atpūta, kultūra un reliģija</t>
  </si>
  <si>
    <t>Kultūras centrs</t>
  </si>
  <si>
    <t>Bibliotēka</t>
  </si>
  <si>
    <t>6.3.</t>
  </si>
  <si>
    <t>Sporta daļa</t>
  </si>
  <si>
    <t>7.3.1.</t>
  </si>
  <si>
    <t>sporta funkcijas nodrošināšana</t>
  </si>
  <si>
    <t>7.3.2.</t>
  </si>
  <si>
    <t>uzturēšanas izdevumi</t>
  </si>
  <si>
    <t>7.3.2.1.</t>
  </si>
  <si>
    <t>t.sk.: komunālie maksājumi</t>
  </si>
  <si>
    <t>7.3.3.</t>
  </si>
  <si>
    <t>Leader projekts - basketbola laukuma labiekārtošana</t>
  </si>
  <si>
    <t>6.4.</t>
  </si>
  <si>
    <t>Evaņģēliski luteriskās draudzes</t>
  </si>
  <si>
    <t>6.5.</t>
  </si>
  <si>
    <t>Muzejs</t>
  </si>
  <si>
    <t>6.6.</t>
  </si>
  <si>
    <t>Multihalle</t>
  </si>
  <si>
    <t>Sociālā aizsardzība</t>
  </si>
  <si>
    <t>Sociālais dienests</t>
  </si>
  <si>
    <t>7.1.1.</t>
  </si>
  <si>
    <t>Sociālās funkcijas nodrošināšana</t>
  </si>
  <si>
    <t>7.1.2.</t>
  </si>
  <si>
    <t>Asistentu pakalpojumi</t>
  </si>
  <si>
    <t>Stipendiāti / bezdarbnieki</t>
  </si>
  <si>
    <t>7.2.1.</t>
  </si>
  <si>
    <t>Domes finansējums</t>
  </si>
  <si>
    <t>7.2.2.</t>
  </si>
  <si>
    <t>NVA finansējums</t>
  </si>
  <si>
    <t>7.3.</t>
  </si>
  <si>
    <t>Bāriņtiesa</t>
  </si>
  <si>
    <t>Izglītība</t>
  </si>
  <si>
    <t>7210 (0940; 0970)</t>
  </si>
  <si>
    <t>Norēķini ar pašvaldību budžetiem par izglītības iestāžu pakalpojumiem</t>
  </si>
  <si>
    <t>Ādažu Pirmsskolas izglītības iestāde</t>
  </si>
  <si>
    <t>8.2.1.</t>
  </si>
  <si>
    <t>pedagogu algas, grāmatas (mērķdotācija)</t>
  </si>
  <si>
    <t>8.2.1.1.</t>
  </si>
  <si>
    <t>t.sk. - Domes finansējums</t>
  </si>
  <si>
    <t>8.2.1.2.</t>
  </si>
  <si>
    <r>
      <rPr>
        <sz val="10"/>
        <color indexed="9"/>
        <rFont val="Times New Roman"/>
        <family val="1"/>
        <charset val="186"/>
      </rPr>
      <t xml:space="preserve">t.sk. </t>
    </r>
    <r>
      <rPr>
        <sz val="10"/>
        <rFont val="Times New Roman"/>
        <family val="1"/>
        <charset val="186"/>
      </rPr>
      <t>- mērķdotācijas</t>
    </r>
  </si>
  <si>
    <t>8.2.1.2.1.</t>
  </si>
  <si>
    <t>t.sk. piecgadīgo bērnu apmācība</t>
  </si>
  <si>
    <t>8.2.2.</t>
  </si>
  <si>
    <t>pārējās izmaksas</t>
  </si>
  <si>
    <t>8.2.2.1.</t>
  </si>
  <si>
    <t>t.sk. - atalgojums</t>
  </si>
  <si>
    <t>8.2.2.2.</t>
  </si>
  <si>
    <r>
      <rPr>
        <sz val="10"/>
        <color indexed="9"/>
        <rFont val="Times New Roman"/>
        <family val="1"/>
        <charset val="186"/>
      </rPr>
      <t xml:space="preserve">t.sk. </t>
    </r>
    <r>
      <rPr>
        <sz val="10"/>
        <rFont val="Times New Roman"/>
        <family val="1"/>
        <charset val="186"/>
      </rPr>
      <t>- komunālie maksājumi</t>
    </r>
  </si>
  <si>
    <t>8.2.2.3.</t>
  </si>
  <si>
    <r>
      <rPr>
        <sz val="10"/>
        <color indexed="9"/>
        <rFont val="Times New Roman"/>
        <family val="1"/>
        <charset val="186"/>
      </rPr>
      <t xml:space="preserve">t.sk. </t>
    </r>
    <r>
      <rPr>
        <sz val="10"/>
        <rFont val="Times New Roman"/>
        <family val="1"/>
        <charset val="186"/>
      </rPr>
      <t>- pārējas uzturēšanas izmaksas</t>
    </r>
  </si>
  <si>
    <t>8.2.3.</t>
  </si>
  <si>
    <t>ēdināšana</t>
  </si>
  <si>
    <t>8.2.4.</t>
  </si>
  <si>
    <t>mērķdotācija mācību līdzekļu iegādei</t>
  </si>
  <si>
    <t>Kadagas PII</t>
  </si>
  <si>
    <t>8.3.1.</t>
  </si>
  <si>
    <t>8.3.1.1.</t>
  </si>
  <si>
    <t>8.3.1.2.</t>
  </si>
  <si>
    <t>8.3.1.2.1.</t>
  </si>
  <si>
    <t>8.3.2.</t>
  </si>
  <si>
    <t>8.3.2.1.</t>
  </si>
  <si>
    <t>8.3.2.2.</t>
  </si>
  <si>
    <t>8.3.2.3.</t>
  </si>
  <si>
    <r>
      <rPr>
        <sz val="10"/>
        <color indexed="9"/>
        <rFont val="Times New Roman"/>
        <family val="1"/>
        <charset val="186"/>
      </rPr>
      <t xml:space="preserve">t.sk. </t>
    </r>
    <r>
      <rPr>
        <sz val="10"/>
        <rFont val="Times New Roman"/>
        <family val="1"/>
        <charset val="186"/>
      </rPr>
      <t>- pārējās uzturēšanas izmaksas</t>
    </r>
  </si>
  <si>
    <t>8.3.3.</t>
  </si>
  <si>
    <t>8.3.4.</t>
  </si>
  <si>
    <t>Līdzfinansējums Aizsardzības ministrijai</t>
  </si>
  <si>
    <t>8.4.</t>
  </si>
  <si>
    <t>Privātās izglītības iestādes</t>
  </si>
  <si>
    <t>8.4.1.</t>
  </si>
  <si>
    <t>ĀBVS</t>
  </si>
  <si>
    <t>8.4.2.</t>
  </si>
  <si>
    <t>Pārējās privātās PII</t>
  </si>
  <si>
    <t>8.5.</t>
  </si>
  <si>
    <t>Ādažu vidusskola</t>
  </si>
  <si>
    <t>8.5.1.</t>
  </si>
  <si>
    <t>8.5.2.</t>
  </si>
  <si>
    <t>8.5.3.</t>
  </si>
  <si>
    <t>Ādažu vidusskolas ēdnīcas remonts.</t>
  </si>
  <si>
    <t>8.5.4.</t>
  </si>
  <si>
    <t>projekts Erasmus+</t>
  </si>
  <si>
    <t>t.sk. Bērnu dziesmu un deju svētki</t>
  </si>
  <si>
    <t>8.6.</t>
  </si>
  <si>
    <t>Jaunās skolas būvniecība</t>
  </si>
  <si>
    <t xml:space="preserve">2016.g. apstiprināts projekta idejas koncepts un uzsākta projektēšana, kas turpinās līdz 06.2017. un šogad plānots izsludināt iepirkumu uz būvdarbiem, projekta iensiegums ir jāiesniedz CFLA līdz 11.2017. Aizņēmuma atlikusī daļa projektēšanai tiks izņemta 2017.gada maijā. Nākošais maksājums ~maijā. </t>
  </si>
  <si>
    <t>8.7.</t>
  </si>
  <si>
    <t>Ādažu Mākslas un mūzikas skola</t>
  </si>
  <si>
    <t>8.7.1.</t>
  </si>
  <si>
    <t>pedagogu algas (mērķdotācija)</t>
  </si>
  <si>
    <t>8.6.1.1.</t>
  </si>
  <si>
    <t>t.sk. - mērķdotācijas</t>
  </si>
  <si>
    <t>8.6.1.2.</t>
  </si>
  <si>
    <r>
      <rPr>
        <sz val="10"/>
        <color indexed="9"/>
        <rFont val="Times New Roman"/>
        <family val="1"/>
        <charset val="186"/>
      </rPr>
      <t xml:space="preserve">t.sk. </t>
    </r>
    <r>
      <rPr>
        <sz val="10"/>
        <rFont val="Times New Roman"/>
        <family val="1"/>
        <charset val="186"/>
      </rPr>
      <t>- Domes finansējums</t>
    </r>
  </si>
  <si>
    <t>8.7.2.</t>
  </si>
  <si>
    <t>8.7.3.</t>
  </si>
  <si>
    <t>projekti (Leader)</t>
  </si>
  <si>
    <t>8.8.</t>
  </si>
  <si>
    <t>Sporta skola</t>
  </si>
  <si>
    <t>8.8.1.</t>
  </si>
  <si>
    <t>8.7.1.1.</t>
  </si>
  <si>
    <t>8.7.1.1.1</t>
  </si>
  <si>
    <r>
      <rPr>
        <sz val="11"/>
        <color indexed="9"/>
        <rFont val="Times New Roman"/>
        <family val="1"/>
        <charset val="186"/>
      </rPr>
      <t>t.sk.</t>
    </r>
    <r>
      <rPr>
        <sz val="11"/>
        <rFont val="Times New Roman"/>
        <family val="1"/>
        <charset val="186"/>
      </rPr>
      <t>t.sk. - mērķdotācijas</t>
    </r>
  </si>
  <si>
    <t>8.7.1.1.2</t>
  </si>
  <si>
    <r>
      <rPr>
        <sz val="11"/>
        <color indexed="9"/>
        <rFont val="Times New Roman"/>
        <family val="1"/>
        <charset val="186"/>
      </rPr>
      <t>t.sk.t.sk.</t>
    </r>
    <r>
      <rPr>
        <sz val="11"/>
        <rFont val="Times New Roman"/>
        <family val="1"/>
        <charset val="186"/>
      </rPr>
      <t xml:space="preserve"> - domes finansējums</t>
    </r>
  </si>
  <si>
    <t>8.7.1.2.</t>
  </si>
  <si>
    <r>
      <rPr>
        <sz val="11"/>
        <color indexed="9"/>
        <rFont val="Times New Roman"/>
        <family val="1"/>
        <charset val="186"/>
      </rPr>
      <t>t.sk.</t>
    </r>
    <r>
      <rPr>
        <sz val="11"/>
        <rFont val="Times New Roman"/>
        <family val="1"/>
        <charset val="186"/>
      </rPr>
      <t xml:space="preserve"> - sporta sekcijas </t>
    </r>
  </si>
  <si>
    <t>8.7.1.3.</t>
  </si>
  <si>
    <r>
      <rPr>
        <sz val="11"/>
        <color indexed="9"/>
        <rFont val="Times New Roman"/>
        <family val="1"/>
        <charset val="186"/>
      </rPr>
      <t>t.sk.</t>
    </r>
    <r>
      <rPr>
        <sz val="11"/>
        <rFont val="Times New Roman"/>
        <family val="1"/>
        <charset val="186"/>
      </rPr>
      <t xml:space="preserve"> - tautas sports</t>
    </r>
  </si>
  <si>
    <t>8.8.2.</t>
  </si>
  <si>
    <t>Pašvaldības finansējums</t>
  </si>
  <si>
    <t>8.9.</t>
  </si>
  <si>
    <t>Pierīgas izglītības un sporta pārvalde</t>
  </si>
  <si>
    <t>8.10.</t>
  </si>
  <si>
    <t>Projekts "Proti un dari"</t>
  </si>
  <si>
    <t>8.11.</t>
  </si>
  <si>
    <t>Izglītības un jauniešu lietu pārvalde</t>
  </si>
  <si>
    <t>Ieguldījumi uzņēmumu pamatkapitālā</t>
  </si>
  <si>
    <t>SIA "Ādažu slimnīca"</t>
  </si>
  <si>
    <t>SIA "Namsaimnieks"</t>
  </si>
  <si>
    <t>SIA "Ādažu ūdens"</t>
  </si>
  <si>
    <t>Būvdarbi ir pabeigti. Tiek veikta iekārtu montāža. Objekta nodošana ekspluatācijā ir paredzēta 07.2017. Aizsardzības ministrijas finansējums ir 100% apgūts.</t>
  </si>
  <si>
    <t>SIA "Garkalnes ūdens"</t>
  </si>
  <si>
    <t>KOPĀ IZDEVUMI:</t>
  </si>
  <si>
    <t>Kredītu pamatsummas atmaksa</t>
  </si>
  <si>
    <t>Aizņēmumu atmaksa VK un VIF</t>
  </si>
  <si>
    <t>PAVISAM KOPĀ IZDEVUMI:</t>
  </si>
  <si>
    <t>-</t>
  </si>
  <si>
    <t>Naudas līdzekļu atlikums uz gada beigām</t>
  </si>
  <si>
    <t>Datu savākšanas pamatojums - Likuma par budžetu un finanšu vadību (24.03.1994.) 30.panta sestā un astotā daļa dod tiesības pieprasīt šos datus</t>
  </si>
  <si>
    <t>Veidlapa Nr.1-SB</t>
  </si>
  <si>
    <t>Pārskats par budžeta izpildi</t>
  </si>
  <si>
    <t>KODI</t>
  </si>
  <si>
    <t>Ministrijas, centrālās valsts iestādes, pašvaldības nosaukums  Ādažu novads</t>
  </si>
  <si>
    <t>0804400</t>
  </si>
  <si>
    <t xml:space="preserve">Iestādes nosaukums </t>
  </si>
  <si>
    <t>90000048472</t>
  </si>
  <si>
    <t>Pārskata gads</t>
  </si>
  <si>
    <t>2017</t>
  </si>
  <si>
    <t xml:space="preserve">Pārskata mēnesis  </t>
  </si>
  <si>
    <t>Marts</t>
  </si>
  <si>
    <t xml:space="preserve">Budžeta veids  </t>
  </si>
  <si>
    <t>speciālais budžets</t>
  </si>
  <si>
    <t>(euro)</t>
  </si>
  <si>
    <t xml:space="preserve">Klasifikācijas kods </t>
  </si>
  <si>
    <t>Rādītāju nosaukums</t>
  </si>
  <si>
    <t>Gada plāns</t>
  </si>
  <si>
    <t>Izpilde no gada sākuma</t>
  </si>
  <si>
    <t>Izpilde % pret gada plānu (2./1.)</t>
  </si>
  <si>
    <t>Pārskata mēneša izpilde</t>
  </si>
  <si>
    <t>Pag. mēnesis</t>
  </si>
  <si>
    <t>A</t>
  </si>
  <si>
    <t>B</t>
  </si>
  <si>
    <t>I.</t>
  </si>
  <si>
    <t>KOPĀ IEŅĒMUMI</t>
  </si>
  <si>
    <t>1.0</t>
  </si>
  <si>
    <t>1.0.0.0.</t>
  </si>
  <si>
    <t>Ienākuma nodokļi</t>
  </si>
  <si>
    <t>1.1</t>
  </si>
  <si>
    <t xml:space="preserve">Ieņēmumi no iedzīvotāju ienākuma nodokļa un solidaritātes nodokļa </t>
  </si>
  <si>
    <t>1.1.0.0.</t>
  </si>
  <si>
    <t>Ieņēmumi no iedzīvotāju ienākuma nodokļa</t>
  </si>
  <si>
    <t>1.1.1.1.</t>
  </si>
  <si>
    <t>Saņemts no Valsts kases sadales konta iepriekšējā gada nesadalītais iedzīvotāju ienākuma nodokļa atlikums</t>
  </si>
  <si>
    <t>1.1.1.2.</t>
  </si>
  <si>
    <t>Saņemts no Valsts kases sadales konta pārskata gadā ieskaitītais iedzīvotāju ienākuma nodoklis</t>
  </si>
  <si>
    <t>1.1.1.4.</t>
  </si>
  <si>
    <t>Valsts budžeta ieņēmumos iemaksātais iedzīvotāju ienākuma nodoklis</t>
  </si>
  <si>
    <t>1.3.0.0.</t>
  </si>
  <si>
    <t>Ieņēmumi no solidaritātes nodokļa</t>
  </si>
  <si>
    <t>1.2</t>
  </si>
  <si>
    <t>Ieņēmumi no juridisko personu ienākuma nodokļa</t>
  </si>
  <si>
    <t>1.2.0.0.</t>
  </si>
  <si>
    <t>1.2.1.0.</t>
  </si>
  <si>
    <t>Uzņēmumu ienākuma nodoklis</t>
  </si>
  <si>
    <t>1.3</t>
  </si>
  <si>
    <t>Sociālās apdrošināšanas iemaksas</t>
  </si>
  <si>
    <t>2.0.0.0.</t>
  </si>
  <si>
    <t>2.1.0.0.</t>
  </si>
  <si>
    <t>Brīvprātīgās sociālās apdrošināšanas iemaksas</t>
  </si>
  <si>
    <t>2.1.1.0.</t>
  </si>
  <si>
    <t>Brīvprātīgās sociālās apdrošināšanas iemaksas valsts pensiju apdrošināšanai</t>
  </si>
  <si>
    <t>2.1.2.0.</t>
  </si>
  <si>
    <t>Brīvprātīgās sociālās apdrošināšanas iemaksas invaliditātes, maternitātes, slimības un vecāku apdrošināšanai</t>
  </si>
  <si>
    <t>2.1.3.0.</t>
  </si>
  <si>
    <t>Brīvprātīgās sociālās apdrošināšanas iemaksas sociālajai apdrošināšanai bezdarba gadījumiem</t>
  </si>
  <si>
    <t>2.1.4.0.</t>
  </si>
  <si>
    <t>Brīvprātīgās sociālās apdrošināšanas iemaksas sociālajai apdrošināšanai pret nelaimes gadījumiem darbā un arodslimībām</t>
  </si>
  <si>
    <t>2.2.0.0.</t>
  </si>
  <si>
    <t>Valsts sociālās apdrošināšanas obligātās iemaksas</t>
  </si>
  <si>
    <t>2.4.0.0.</t>
  </si>
  <si>
    <t>Ieņēmumi valsts speciālajā budžetā no valsts sociālās apdrošināšanas obligāto iemaksu sadales</t>
  </si>
  <si>
    <t>2.4.1.0.</t>
  </si>
  <si>
    <t>Valsts sociālās apdrošināšanas obligātās iemaksas valsts pensiju apdrošināšanai</t>
  </si>
  <si>
    <t>2.4.2.0.</t>
  </si>
  <si>
    <t>Valsts sociālās apdrošināšanas obligātās iemaksas sociālajai apdrošināšanai bezdarba gadījumiem</t>
  </si>
  <si>
    <t>2.4.3.0.</t>
  </si>
  <si>
    <t>Valsts sociālās apdrošināšanas obligātās iemaksas sociālajai apdrošināšanai pret nelaimes gadījumiem darbā un arodslimībām</t>
  </si>
  <si>
    <t>2.4.4.0.</t>
  </si>
  <si>
    <t>Valsts sociālās apdrošināšanas obligātās iemaksas invaliditātes, maternitātes, slimības un vecāku apdrošināšanai</t>
  </si>
  <si>
    <t>22.5.0.0.</t>
  </si>
  <si>
    <t>Pārējās sociālās apdrošināšanas iemaksas</t>
  </si>
  <si>
    <t>22.5.2.0.</t>
  </si>
  <si>
    <t>Valsts sociālās apdrošināšanas iemaksas fondēto pensiju shēmā</t>
  </si>
  <si>
    <t>22.5.3.0.</t>
  </si>
  <si>
    <t>Solidaritātes nodokļa iemaksas valsts pamatbudžetā</t>
  </si>
  <si>
    <t>22.5.9.0.</t>
  </si>
  <si>
    <t>1.4</t>
  </si>
  <si>
    <t>Īpašuma nodokļi</t>
  </si>
  <si>
    <t>4.0.0.0.</t>
  </si>
  <si>
    <t>4.1.0.0.</t>
  </si>
  <si>
    <t>Nekustamā īpašuma nodoklis</t>
  </si>
  <si>
    <t>4.1.1.1.</t>
  </si>
  <si>
    <t>Nekustamā īpašuma nodokļa par zemi kārtējā saimnieciskā gada ieņēmumi</t>
  </si>
  <si>
    <t>4.1.1.2.</t>
  </si>
  <si>
    <t>Nekustamā īpašuma nodokļa par zemi iepriekšējo gadu parādi</t>
  </si>
  <si>
    <t>4.1.2.1.</t>
  </si>
  <si>
    <t>Nekustamā īpašuma nodokļa par ēkām kārtējā gada maksājumi</t>
  </si>
  <si>
    <t>4.1.2.2.</t>
  </si>
  <si>
    <t>Nekustamā īpašuma nodokļa par ēkām parādi par iepriekšējiem gadiem</t>
  </si>
  <si>
    <t>Nekustamā īpašuma nodoklis par mājokļiem</t>
  </si>
  <si>
    <t>4.1.3.1.</t>
  </si>
  <si>
    <t>Nekustamā īpašuma nodokļa par mājokļiem kārtējā saimnieciskā gada ieņēmumi</t>
  </si>
  <si>
    <t>4.1.3.2.</t>
  </si>
  <si>
    <t>Nekustamā īpašuma nodokļa par mājokļiem parādi par iepriekšējiem gadiem</t>
  </si>
  <si>
    <t>4.2.0.0.</t>
  </si>
  <si>
    <t>Īpašuma nodokļa parādi</t>
  </si>
  <si>
    <t>4.3.0.0.</t>
  </si>
  <si>
    <t>Zemes nodokļa parādi</t>
  </si>
  <si>
    <t>1.7</t>
  </si>
  <si>
    <t>Muitas nodoklis</t>
  </si>
  <si>
    <t>6.0.0.0.</t>
  </si>
  <si>
    <t>6.1.0.0.</t>
  </si>
  <si>
    <t>Ievedmuitas nodoklis un citi līdzvērtīgi maksājumi</t>
  </si>
  <si>
    <t>6.1.1.0.</t>
  </si>
  <si>
    <t>Ievedmuitas nodoklis</t>
  </si>
  <si>
    <t>6.1.2.0.</t>
  </si>
  <si>
    <t>Ievešanas maksājumi lauksaimniecības precēm</t>
  </si>
  <si>
    <t>6.1.3.0.</t>
  </si>
  <si>
    <t>Antidempinga maksājumi</t>
  </si>
  <si>
    <t>6.1.4.0.</t>
  </si>
  <si>
    <t>Kompensācijas maksājumi</t>
  </si>
  <si>
    <t>6.2.0.0.</t>
  </si>
  <si>
    <t>Izvedmuitas nodoklis un citi līdzvērtīgi maksājumi</t>
  </si>
  <si>
    <t>5.0.0.0.</t>
  </si>
  <si>
    <t>Nodokļi par pakalpojumiem un precēm</t>
  </si>
  <si>
    <t>1.5</t>
  </si>
  <si>
    <t>Pievienotās vērtības nodoklis</t>
  </si>
  <si>
    <t>5.1.0.0.</t>
  </si>
  <si>
    <t>5.1.1.0.</t>
  </si>
  <si>
    <t>Iekšzemē iekasētais pievienotās vērtības nodoklis</t>
  </si>
  <si>
    <t>5.1.3.0.</t>
  </si>
  <si>
    <t>Iekasētais pievienotās vērtības nodoklis, izlaižot preces brīvam apgrozījumam</t>
  </si>
  <si>
    <t>5.1.4.0.</t>
  </si>
  <si>
    <t>Pievienotās vērtības nodoklis par jaunu transportlīdzekļu iegādi</t>
  </si>
  <si>
    <t>5.1.5.0.</t>
  </si>
  <si>
    <t>Pievienotās vērtības nodokļa īpašā režīma ietvaros reģistrēto personu iemaksātais pievienotās vērtības nodoklis par elektroniski sniegtajiem pakalpojumiem</t>
  </si>
  <si>
    <t>5.1.6.0.</t>
  </si>
  <si>
    <t>Dalībvalstu pārskaitītais pievienotās vērtības nodoklis par elektroniski sniegtajiem pakalpojumiem</t>
  </si>
  <si>
    <t>1.6</t>
  </si>
  <si>
    <t>Akcīzes nodoklis</t>
  </si>
  <si>
    <t>5.2.0.0.</t>
  </si>
  <si>
    <t>Iekšzemē iekasētais akcīzes nodoklis un nodokļa atmaksas</t>
  </si>
  <si>
    <t>5.2.1.0.</t>
  </si>
  <si>
    <t>Akcīzes nodoklis alkoholiskajiem dzērieniem</t>
  </si>
  <si>
    <t>5.2.2.0.</t>
  </si>
  <si>
    <t>Akcīzes nodoklis alum</t>
  </si>
  <si>
    <t>5.2.3.0.</t>
  </si>
  <si>
    <t>Akcīzes nodoklis pārējām akcīzes precēm</t>
  </si>
  <si>
    <t>5.2.4.0.</t>
  </si>
  <si>
    <t>Akcīzes nodoklis tabakas izstrādājumiem</t>
  </si>
  <si>
    <t>5.2.5.0.</t>
  </si>
  <si>
    <t>Akcīzes nodokļa atmaksas saskaņā ar likumu „Par akcīzes nodokli”</t>
  </si>
  <si>
    <t>5.2.6.0.</t>
  </si>
  <si>
    <t>Akcīzes nodoklis dabasgāzei</t>
  </si>
  <si>
    <t>5.2.7.0.</t>
  </si>
  <si>
    <t>Akcīzes nodoklis naftas produktiem</t>
  </si>
  <si>
    <t>5.3.0.0.</t>
  </si>
  <si>
    <t>Iekasētais akcīzes nodoklis, ievedot preces izlaišanai brīvam apgrozījumam (importējot)</t>
  </si>
  <si>
    <t>5.3.1.0.</t>
  </si>
  <si>
    <t>5.3.2.0.</t>
  </si>
  <si>
    <t>5.3.3.0.</t>
  </si>
  <si>
    <t>5.3.4.0.</t>
  </si>
  <si>
    <t>5.3.6.0.</t>
  </si>
  <si>
    <t>5.3.7.0.</t>
  </si>
  <si>
    <t>1.8</t>
  </si>
  <si>
    <t>Nodokļi atsevišķām precēm un pakalpojumu veidiem</t>
  </si>
  <si>
    <t>5.4.0.0.</t>
  </si>
  <si>
    <t>5.4.1.0.</t>
  </si>
  <si>
    <t>5.4.2.0.</t>
  </si>
  <si>
    <t>Izložu nodoklis</t>
  </si>
  <si>
    <t>5.4.3.0.</t>
  </si>
  <si>
    <t>Vieglo automobiļu un motociklu nodoklis</t>
  </si>
  <si>
    <t>5.4.3.1.</t>
  </si>
  <si>
    <t>Vieglo automobiļu nodoklis</t>
  </si>
  <si>
    <t>5.4.3.2.</t>
  </si>
  <si>
    <t>Motociklu nodoklis</t>
  </si>
  <si>
    <t>5.4.4.0.</t>
  </si>
  <si>
    <t>Elektroenerģijas nodoklis</t>
  </si>
  <si>
    <t>5.4.5.0.</t>
  </si>
  <si>
    <t>Transportlīdzekļa ekspluatācijas nodoklis</t>
  </si>
  <si>
    <t>5.4.5.1.</t>
  </si>
  <si>
    <t>Transportlīdzekļa ekspluatācijas nodoklis par transportlīdzekļiem, kas reģistrēti uz fizisko personu vārda</t>
  </si>
  <si>
    <t>5.4.5.2.</t>
  </si>
  <si>
    <t>Transportlīdzekļa ekspluatācijas nodoklis par transportlīdzekļiem, kas reģistrēti uz juridisko personu vārda</t>
  </si>
  <si>
    <t>5.4.6.0.</t>
  </si>
  <si>
    <t>Uzņēmumu vieglo transportlīdzekļu nodoklis</t>
  </si>
  <si>
    <t>5.4.7.0.</t>
  </si>
  <si>
    <t>Subsidētās elektroenerģijas nodoklis</t>
  </si>
  <si>
    <t>1.9</t>
  </si>
  <si>
    <t>Nodokļi un maksājumi par tiesībām lietot atsevišķas preces</t>
  </si>
  <si>
    <t>5.5.0.0.</t>
  </si>
  <si>
    <t>5.5.3.0.</t>
  </si>
  <si>
    <t>Dabas resursu nodoklis</t>
  </si>
  <si>
    <t>5.5.3.1.</t>
  </si>
  <si>
    <t>Dabas resursu nodoklis par dabas resursu ieguvi un vides piesārņošanu</t>
  </si>
  <si>
    <t>5.5.3.2.</t>
  </si>
  <si>
    <t>Dabas resursu nodoklis par videi kaitīgām precēm</t>
  </si>
  <si>
    <t>5.5.3.3.</t>
  </si>
  <si>
    <t>Dabas resursu nodoklis par preču iepakojumu</t>
  </si>
  <si>
    <t>5.5.3.4.</t>
  </si>
  <si>
    <t>Dabas resursu nodoklis par radioaktīvo vielu izmantošanu</t>
  </si>
  <si>
    <t>5.5.3.5.</t>
  </si>
  <si>
    <t>Dabas resursu nodoklis par zemes dzīļu derīgo īpašību izmantošanu, iesūknējot ģeoloģiskajās struktūrās dabasgāzi vai siltumnīcefekta gāzes</t>
  </si>
  <si>
    <t>5.5.3.6.</t>
  </si>
  <si>
    <t>Dabas resursu nodoklis par vienreiz lietojamiem galda traukiem un piederumiem</t>
  </si>
  <si>
    <t>5.5.3.7.</t>
  </si>
  <si>
    <t>Dabas resursu nodoklis par pirmo reizi Latvijas Republikā reģistrētajiem transportlīdzekļiem</t>
  </si>
  <si>
    <t>5.5.3.8.</t>
  </si>
  <si>
    <t>Dabas resursu nodoklis par virs limitos noteikto apjomu un soda naudas par likuma pārkāpumiem</t>
  </si>
  <si>
    <t>5.5.3.9.</t>
  </si>
  <si>
    <t>Dabas resursu nodoklis par akmeņoglēm, koksu un lignītu, uguņošanas ierīcēm un par ūdens resursu lietošanu elektroenerģijas ražošanai</t>
  </si>
  <si>
    <t>7.0.0.0.</t>
  </si>
  <si>
    <t>Nodokļu ieņēmumi, kas kompleksi apvieno dažādu nodokļu ieņēmumu grupas</t>
  </si>
  <si>
    <t>7.1.0.0.</t>
  </si>
  <si>
    <t>Patentmaksas</t>
  </si>
  <si>
    <t>7.2.0.0.</t>
  </si>
  <si>
    <t>Mikrouzņēmumu nodoklis</t>
  </si>
  <si>
    <t>7.2.1.0.</t>
  </si>
  <si>
    <t>Mikrouzņēmumu nodoklis, kuru maksā maksātāji, kas atbilst likumam "Par uzņēmumu ienākuma nodokli"</t>
  </si>
  <si>
    <t>7.2.2.0.</t>
  </si>
  <si>
    <t>Mikrouzņēmumu nodoklis, kuru maksā kā saimnieciskās darbības veicēji reģistrētās fiziskās personas</t>
  </si>
  <si>
    <t>7.2.3.0.</t>
  </si>
  <si>
    <t>Mikrouzņēmumu nodoklis, kuru maksā pārējie saimnieciskās darbības veicēji, kas atbilst likumam "Par iedzīvotāju ienākuma nodokli"</t>
  </si>
  <si>
    <t>2.0</t>
  </si>
  <si>
    <t>Nenodokļu ieņēmumi</t>
  </si>
  <si>
    <t>8.0.0.0.</t>
  </si>
  <si>
    <t>Ieņēmumi no uzņēmējdarbības un īpašuma</t>
  </si>
  <si>
    <t>8.1.0.0.</t>
  </si>
  <si>
    <t>Ieņēmumi no finanšu ieguldījumiem</t>
  </si>
  <si>
    <t>8.1.1.0.</t>
  </si>
  <si>
    <t>Ieņēmumi no kapitāla daļu pārdošanas, vērtspapīru tirdzniecības</t>
  </si>
  <si>
    <t>8.1.1.5.</t>
  </si>
  <si>
    <t>Ieņēmumi no kapitāla daļu pārdošanas</t>
  </si>
  <si>
    <t>8.1.1.6.</t>
  </si>
  <si>
    <t>Ieņēmumi no vērtspapīru tirdzniecības</t>
  </si>
  <si>
    <t>8.1.2.0.</t>
  </si>
  <si>
    <t>Ieņēmumi no ieguldījumu un vērtspapīru pārvērtēšanas un kapitāla daļu vērtības palielināšanās vai pārsnieguma radniecīgajās un asociētajās kapitālsabiedrībās vai finanšu ieguldījuma atzīšanas patiesajā vērtībā, veicot mantisku ieguldījumu</t>
  </si>
  <si>
    <t>8.1.2.1.</t>
  </si>
  <si>
    <t>Ieņēmumi no ieguldījumu pārvērtēšanas un vērtības palielināšanās vai pārsnieguma radnieciskās un asociētās kapitālsabiedrībās</t>
  </si>
  <si>
    <t>8.1.2.2.</t>
  </si>
  <si>
    <t>Ieņēmumi no vērtspapīru pārvērtēšanas</t>
  </si>
  <si>
    <t>8.1.3.0.</t>
  </si>
  <si>
    <t>Ieņēmumi no finanšu ieguldījumu sākotnējās atzīšanas iestādes bilancē</t>
  </si>
  <si>
    <t>8.2.0.0.</t>
  </si>
  <si>
    <t>Ieņēmumi no Latvijas Bankas maksājuma</t>
  </si>
  <si>
    <t>8.3.0.0.</t>
  </si>
  <si>
    <t>Ieņēmumi no dividendēm (ieņēmumi no valsts (pašvaldību) kapitāla izmantošanas)</t>
  </si>
  <si>
    <t>8.3.1.0.</t>
  </si>
  <si>
    <t>Ieņēmumi no a/s „Latvijas valsts meži”</t>
  </si>
  <si>
    <t>8.3.9.0.</t>
  </si>
  <si>
    <t>Pārējie ieņēmumi no dividendēm (ieņēmumi no valsts (pašvaldību) kapitāla izmantošanas)</t>
  </si>
  <si>
    <t>8.4.0.0.</t>
  </si>
  <si>
    <t>Procentu ieņēmumi par aizdevumiem</t>
  </si>
  <si>
    <t>8.4.1.0.</t>
  </si>
  <si>
    <t>Valsts budžeta procentu ieņēmumi par aizdevumiem</t>
  </si>
  <si>
    <t>8.4.1.1.</t>
  </si>
  <si>
    <t>Valsts budžeta procentu ieņēmumi par aizdevumiem no valsts budžeta iestādēm, izņemot valsts speciālo sociālās apdrošināšanas budžetu</t>
  </si>
  <si>
    <t>8.4.1.2.</t>
  </si>
  <si>
    <t>Valsts budžeta procentu ieņēmumi par aizdevumiem no valsts sociālās apdrošināšanas budžeta</t>
  </si>
  <si>
    <t>8.4.1.3.</t>
  </si>
  <si>
    <t>Valsts budžeta procentu ieņēmumi par aizdevumiem no pašvaldībām</t>
  </si>
  <si>
    <t>8.4.1.9.</t>
  </si>
  <si>
    <t>Valsts budžeta procentu ieņēmumi par aizdevumiem no kapitālsabiedrībām</t>
  </si>
  <si>
    <t>8.4.2.0.</t>
  </si>
  <si>
    <t>Pašvaldību budžetu procentu ieņēmumi par aizdevumiem</t>
  </si>
  <si>
    <t>8.4.2.1.</t>
  </si>
  <si>
    <t>Pašvaldību budžetu procentu ieņēmumi par aizdevumiem no pašvaldību iestādēm</t>
  </si>
  <si>
    <t>8.4.2.9.</t>
  </si>
  <si>
    <t>Pašvaldību budžetu procentu ieņēmumi par aizdevumiem no kapitālsabiedrībām</t>
  </si>
  <si>
    <t>8.6.0.0.</t>
  </si>
  <si>
    <t>Procentu ieņēmumi par depozītiem, kontu atlikumiem, valsts parāda vērtspapīriem un atlikto maksājumu</t>
  </si>
  <si>
    <t>8.6.1.0.</t>
  </si>
  <si>
    <t>Procentu ieņēmumi par depozītiem</t>
  </si>
  <si>
    <t>Valsts budžeta procentu ieņēmumi par Valsts kases noguldījumiem depozītā Latvijas Bankā vai kredītiestādēs</t>
  </si>
  <si>
    <t>Pašvaldību budžeta procentu ieņēmumi par noguldījumiem depozītā Valsts kasē (Latvijas Bankā) vai kredītiestādēs</t>
  </si>
  <si>
    <t>8.6.1.3.</t>
  </si>
  <si>
    <t>Pašvaldību budžeta iestāžu procentu ieņēmumi par noguldījumiem depozītā Valsts kasē (Latvijas Bankā) vai kredītiestādēs</t>
  </si>
  <si>
    <t>8.6.2.0.</t>
  </si>
  <si>
    <t>Procentu ieņēmumi par kontu atlikumiem</t>
  </si>
  <si>
    <t>8.6.2.1.</t>
  </si>
  <si>
    <t>Valsts budžeta procentu ieņēmumi par Valsts kases kontu atlikumiem Latvijas Bankā vai kredītiestādēs</t>
  </si>
  <si>
    <t>8.6.2.2.</t>
  </si>
  <si>
    <t>Pašvaldību budžeta procentu ieņēmumi par kontu atlikumiem Valsts kasē (Latvijas Bankā) vai kredītiestādēs</t>
  </si>
  <si>
    <t>8.6.2.3.</t>
  </si>
  <si>
    <t>Pašvaldību budžeta iestāžu procentu ieņēmumi par kontu atlikumiem Valsts kasē (Latvijas Bankā) vai kredītiestādēs</t>
  </si>
  <si>
    <t>8.6.3.0.</t>
  </si>
  <si>
    <t>Procentu ieņēmumi par ieguldījumiem parāda vērtspapīros un par aizņēmumiem ar negatīvu procentu likmi</t>
  </si>
  <si>
    <t>8.6.3.1.</t>
  </si>
  <si>
    <t>Budžeta procentu ieņēmumi par ieguldījumiem rezidentu parāda vērtspapīros un par aizņēmumiem ar negatīvu procentu likmi</t>
  </si>
  <si>
    <t>8.6.3.2.</t>
  </si>
  <si>
    <t>Budžeta procentu ieņēmumi par ieguldījumiem nerezidentu parāda vērtspapīros un par aizņēmumiem ar negatīvu procentu likmi</t>
  </si>
  <si>
    <t>8.6.4.0.</t>
  </si>
  <si>
    <t>Procentu ieņēmumi par atlikto maksājumu no vēl nesamaksātās pirkuma maksas daļas</t>
  </si>
  <si>
    <t>8.7.0.0.</t>
  </si>
  <si>
    <t>Ieņēmumi no atvasināto finanšu instrumentu rezultāta</t>
  </si>
  <si>
    <t>8.8.0.0.</t>
  </si>
  <si>
    <t>Ieņēmumi no darījumiem ar Kioto vienībām</t>
  </si>
  <si>
    <t>8.9.0.0.</t>
  </si>
  <si>
    <t>Pārējie finanšu ieņēmumi</t>
  </si>
  <si>
    <t>8.9.1.0.</t>
  </si>
  <si>
    <t>Ieņēmumi no saistību dzēšanas</t>
  </si>
  <si>
    <t>8.9.2.0.</t>
  </si>
  <si>
    <t>Ieņēmumi no izveidoto uzkrājumu samazināšanas</t>
  </si>
  <si>
    <t>8.9.3.0.</t>
  </si>
  <si>
    <t>Ieņēmumi no Latvijai piešķirto emisijas kvotu izsolīšanas un darījumiem ar gada emisijas vienībām un Latvijai piešķirtajām emisijas kvotām</t>
  </si>
  <si>
    <t>8.9.3.1.</t>
  </si>
  <si>
    <t>Ieņēmumi no Latvijai piešķirto stacionāro iekārtu un aviācijas emisijas kvotu izsolīšanas</t>
  </si>
  <si>
    <t>8.9.3.3.</t>
  </si>
  <si>
    <t>Ieņēmumi no darījumiem ar gada emisijas sadales vienībām</t>
  </si>
  <si>
    <t>8.9.3.9.</t>
  </si>
  <si>
    <t>Pārējie ieņēmumi no darījumiem ar Latvijai piešķirtajām emisijas kvotām</t>
  </si>
  <si>
    <t>8.9.9.0.</t>
  </si>
  <si>
    <t>Pārējie iepriekš neklasificētie finanšu ieņēmumi</t>
  </si>
  <si>
    <t>Valsts (pašvaldību) nodevas un kancelejas nodevas</t>
  </si>
  <si>
    <t>9.1.0.0.</t>
  </si>
  <si>
    <t>Valsts nodevas par valsts sniegto nodrošinājumu un juridiskajiem un citiem pakalpojumiem</t>
  </si>
  <si>
    <t>9.1.1.0.</t>
  </si>
  <si>
    <t>Valsts nodeva un kancelejas nodeva par juridiskajiem pakalpojumiem tiesu iestādēs</t>
  </si>
  <si>
    <t>9.1.1.1.</t>
  </si>
  <si>
    <t>Kancelejas nodeva tiesu iestādē</t>
  </si>
  <si>
    <t>9.1.1.2.</t>
  </si>
  <si>
    <t>Nodeva par darbību veikšanu tiesu iestādēs</t>
  </si>
  <si>
    <t>9.1.1.3.</t>
  </si>
  <si>
    <t>Nodeva par izpildu dokumentu iesniegšanu</t>
  </si>
  <si>
    <t>9.1.1.4.</t>
  </si>
  <si>
    <t>Nodeva par darbību veikšanu administratīvajā tiesā</t>
  </si>
  <si>
    <t>9.1.2.0.</t>
  </si>
  <si>
    <t>Nodeva par notariālās darbības izpildi</t>
  </si>
  <si>
    <t>9.1.2.1.</t>
  </si>
  <si>
    <t>Nodeva par mantojumiem un dāvinājumiem</t>
  </si>
  <si>
    <t>9.1.2.2.</t>
  </si>
  <si>
    <t>Nodeva par notariālās darbības izpildi, izņemot mantojumus un dāvinājumus</t>
  </si>
  <si>
    <t>9.1.3.0.</t>
  </si>
  <si>
    <t>Nodeva par atsevišķām reģistrācijas darbībām valsts institūcijās</t>
  </si>
  <si>
    <t>9.1.3.1.</t>
  </si>
  <si>
    <t>Nodeva par jebkāda veida ieroča atļaujas, atkārtotas atļaujas, atļaujas dublikāta, Eiropas šaujamieroču apliecības izsniegšanu un Eiropas šaujamieroču apliecības derīguma termiņa pagarināšanu</t>
  </si>
  <si>
    <t>9.1.3.2.</t>
  </si>
  <si>
    <t>Nodeva par darbību veikšanu Uzņēmumu reģistrā</t>
  </si>
  <si>
    <t>9.1.3.3.</t>
  </si>
  <si>
    <t>Nodeva par filmu producenta reģistrāciju</t>
  </si>
  <si>
    <t>9.1.3.4.</t>
  </si>
  <si>
    <t>Nodeva par sertifikācijas pakalpojumu sniedzēja akreditāciju un akreditācijas atjaunošanu</t>
  </si>
  <si>
    <t>9.1.3.6.</t>
  </si>
  <si>
    <t>Kredītinformācijas biroja nodeva un nodeva par personas datu apstrādes sistēmas reģistrēšanu vai Fizisko personu datu aizsardzības likumā noteikto reģistrējamo izmaiņu izdarīšanu</t>
  </si>
  <si>
    <t>9.1.3.8.</t>
  </si>
  <si>
    <t>Nodeva par iekšējās drošības dienesta reģistrācijas apliecības, tās dublikāta un atkārtotas apliecības izsniegšanu</t>
  </si>
  <si>
    <t>9.1.4.0.</t>
  </si>
  <si>
    <t>Nodeva par operācijām ar privatizācijas sertifikātiem</t>
  </si>
  <si>
    <t>9.1.7.0.</t>
  </si>
  <si>
    <t>Nodeva par īpašuma tiesību un ķīlas tiesību nostiprināšanu zemesgrāmatā un kancelejas nodeva par zemesgrāmatas veiktajām darbībām</t>
  </si>
  <si>
    <t>9.1.7.1.</t>
  </si>
  <si>
    <t>Kancelejas nodeva par zemesgrāmatas veiktajām darbībām attiecībā uz mantojumu un dāvinājumu</t>
  </si>
  <si>
    <t>9.1.7.2.</t>
  </si>
  <si>
    <t>Kancelejas nodeva par zemesgrāmatas veiktajām darbībām, kas iekasēta no fiziskām personām, izņemot mantojumus un dāvinājumus</t>
  </si>
  <si>
    <t>9.1.7.3.</t>
  </si>
  <si>
    <t>Kancelejas nodeva par zemesgrāmatas veiktajām darbībām, kas iekasēta no juridiskām personām, izņemot mantojumus un dāvinājumus</t>
  </si>
  <si>
    <t>9.1.7.4.</t>
  </si>
  <si>
    <t>Nodeva par īpašuma tiesību un ķīlas tiesību nostiprināšanu zemesgrāmatā attiecībā uz mantojumu un dāvinājumu</t>
  </si>
  <si>
    <t>9.1.7.5.</t>
  </si>
  <si>
    <t>Nodeva par īpašuma tiesību un ķīlas tiesību nostiprināšanu zemesgrāmatā, kas iekasēta no fiziskām personām, izņemot mantojumus un dāvinājumus</t>
  </si>
  <si>
    <t>9.1.7.6.</t>
  </si>
  <si>
    <t>Nodeva par īpašuma tiesību un ķīlas tiesību nostiprināšanu zemesgrāmatā, kas iekasēta no juridiskām personām, izņemot mantojumus un dāvinājumus</t>
  </si>
  <si>
    <t>9.1.8.0.</t>
  </si>
  <si>
    <t>Nodeva par Latvijas Republikas pasu un citu personu apliecinošu un tiesību apliecinošu dokumentu izsniegšanu</t>
  </si>
  <si>
    <t>9.1.8.1.</t>
  </si>
  <si>
    <t>Nodeva par pasu izsniegšanu</t>
  </si>
  <si>
    <t>9.1.8.2.</t>
  </si>
  <si>
    <t>Nodeva par personas apliecību izsniegšanu</t>
  </si>
  <si>
    <t>9.1.8.3.</t>
  </si>
  <si>
    <t>Nodeva par informācijas saņemšanu no Iedzīvotāju reģistra</t>
  </si>
  <si>
    <t>9.1.8.5.</t>
  </si>
  <si>
    <t>Nodeva par vīzas, uzturēšanās atļaujas vai Eiropas Savienības pastāvīgā iedzīvotāja statusa Latvijas Republikā pieprasīšanai nepieciešamo dokumentu izskatīšanu un ar to saistītajiem pakalpojumiem</t>
  </si>
  <si>
    <t>9.1.8.6.</t>
  </si>
  <si>
    <t>Nodeva par ziņu par deklarēto dzīvesvietu reģistrāciju</t>
  </si>
  <si>
    <t>9.1.9.0.</t>
  </si>
  <si>
    <t>Pārējās valsts nodevas par juridiskajiem un citiem pakalpojumiem</t>
  </si>
  <si>
    <t>9.1.9.1.</t>
  </si>
  <si>
    <t>Nodeva par konsulāro amatpersonu sniegtajiem pakalpojumiem</t>
  </si>
  <si>
    <t>9.1.9.2.</t>
  </si>
  <si>
    <t>Nodeva par muitas pakalpojumiem</t>
  </si>
  <si>
    <t>9.1.9.6.</t>
  </si>
  <si>
    <t>Nodeva par naturalizācijas iesniegumu iesniegšanu</t>
  </si>
  <si>
    <t>9.1.9.7.</t>
  </si>
  <si>
    <t>Nodeva par atteikšanās no Latvijas pilsonības un pilsonības atjaunošanas dokumentēšanu</t>
  </si>
  <si>
    <t>9.1.9.8.</t>
  </si>
  <si>
    <t>Valsts nodeva par izziņas no Sodu reģistra sagatavošanu</t>
  </si>
  <si>
    <t>9.1.9.9.</t>
  </si>
  <si>
    <t>Citas nodevas par juridiskajiem un citiem pakalpojumiem</t>
  </si>
  <si>
    <t>9.2.0.0.</t>
  </si>
  <si>
    <t>Valsts nodevas par speciālu atļauju (licenču) izsniegšanu un profesionālās kvalifikācijas atbilstības dokumentu reģistrāciju</t>
  </si>
  <si>
    <t>9.2.1.0.</t>
  </si>
  <si>
    <t>Nodeva par speciālu atļauju (licenču) izsniegšanu atsevišķiem komercdarbības veidiem</t>
  </si>
  <si>
    <t>9.2.1.2.</t>
  </si>
  <si>
    <t>Valsts nodeva par ūdens resursu lietošanas atļauju</t>
  </si>
  <si>
    <t>9.2.1.3.</t>
  </si>
  <si>
    <t>Valsts nodeva par apraides atļaujas izsniegšanu, retranslācijas atļaujas izsniegšanu un tāda pakalpojumu sniedzēja reģistrāciju, kas sniedz elektronisko plašsaziņas līdzekļu pakalpojumus pēc pieprasījuma</t>
  </si>
  <si>
    <t>9.2.1.4.</t>
  </si>
  <si>
    <t>Nodeva par speciālu atļauju (licenču) izsniegšanu komercdarbībai ar akcīzes precēm</t>
  </si>
  <si>
    <t>9.2.1.5.</t>
  </si>
  <si>
    <t>Nodeva par speciālu atļauju (licenču) izsniegšanu farmaceitiskajai darbībai</t>
  </si>
  <si>
    <t>9.2.1.6.</t>
  </si>
  <si>
    <t>Nodeva par speciālu atļauju (licenču) izsniegšanu stratēģiskas nozīmes preču darījumiem</t>
  </si>
  <si>
    <t>9.2.1.7.</t>
  </si>
  <si>
    <t>Valsts nodeva par atkritumu savākšanas, pārvadāšanas, pārkraušanas, šķirošanas un uzglabāšanas atļauju</t>
  </si>
  <si>
    <t>9.2.1.8.</t>
  </si>
  <si>
    <t>Valsts nodeva par atļauju A un B kategorijas piesārņojošai darbībai</t>
  </si>
  <si>
    <t>9.2.1.9.</t>
  </si>
  <si>
    <t>Pārējās nodevas par speciālu atļauju (licenču) izsniegšanu atsevišķiem komercdarbības veidiem</t>
  </si>
  <si>
    <t>9.2.2.0.</t>
  </si>
  <si>
    <t>Nodevas par kvalifikācijas pārbaudījumu kārtošanu un sertifikātu izsniegšanu apsardzes, ieroču un munīcijas aprites kārtības, pirotehnikas, spridzināšanas un detektīvdarbības jomā</t>
  </si>
  <si>
    <t>9.2.3.0.</t>
  </si>
  <si>
    <t>Nodeva par valsts valodas prasmes atestāciju profesionālo un amata pienākumu veikšanai</t>
  </si>
  <si>
    <t>9.2.5.0.</t>
  </si>
  <si>
    <t>Nodeva par dokumentu izsniegšanu, kas attiecas uz medību saimniecības izmantošanu, mednieku un medību vadītāju eksāmeniem, medījamo dzīvnieku nodarīto zaudējumu aprēķinu un medību trofeju izvešanu no Latvijas</t>
  </si>
  <si>
    <t>9.2.6.0.</t>
  </si>
  <si>
    <t>Preču un pakalpojumu loteriju organizēšanas nodeva</t>
  </si>
  <si>
    <t>9.2.9.0.</t>
  </si>
  <si>
    <t>Pārējās valsts nodevas par speciālu atļauju (licenču) izsniegšanu vai profesionālās kvalifikācijas atbilstības dokumentu reģistrāciju</t>
  </si>
  <si>
    <t>9.2.9.1.</t>
  </si>
  <si>
    <t>Valsts nodeva par paredzētās darbības ietekmes uz vidi sākotnējo izvērtējumu</t>
  </si>
  <si>
    <t>9.2.9.2.</t>
  </si>
  <si>
    <t>Valsts nodeva par reģistrācijas darbībām būvkomersantu reģistrā</t>
  </si>
  <si>
    <t>9.2.9.3.</t>
  </si>
  <si>
    <t>Valsts nodeva par zemes dzīļu izmantošanas licenci, bieži sastopamo derīgo izrakteņu ieguves atļauju un atradnes pasi</t>
  </si>
  <si>
    <t>9.2.9.4.</t>
  </si>
  <si>
    <t>Valsts nodeva par speciālās atļaujas (licences) vai atļaujas izsniegšanu darbībām ar jonizējošā starojuma avotiem</t>
  </si>
  <si>
    <t>9.2.9.5.</t>
  </si>
  <si>
    <t>Valsts nodeva par pārrobežu skaidras naudas pārvadājumu atļaujas, tās dublikāta un atkārtotas atļaujas izsniegšanu</t>
  </si>
  <si>
    <t>9.2.9.9.</t>
  </si>
  <si>
    <t>Valsts nodevas par speciālu atļauju (licenču) izsniegšanu vai profesionālās kvalifikācijas atbilstības dokumentu reģistrāciju, kas nav minētas citos koda 9.2.9.0. apakškodos</t>
  </si>
  <si>
    <t>9.3.0.0.</t>
  </si>
  <si>
    <t>Speciāliem mērķiem paredzētās valsts nodevas</t>
  </si>
  <si>
    <t>9.3.4.0.</t>
  </si>
  <si>
    <t>Izložu un azartspēļu nodeva</t>
  </si>
  <si>
    <t>9.3.5.0.</t>
  </si>
  <si>
    <t>Uzņēmējdarbības riska valsts nodeva</t>
  </si>
  <si>
    <t>9.3.7.0.</t>
  </si>
  <si>
    <t>Numerācijas lietošanas tiesību ikgadēja valsts nodeva</t>
  </si>
  <si>
    <t>9.3.8.0.</t>
  </si>
  <si>
    <t>Valsts nodeva par naftas produktu drošības rezervju uzturēšanu</t>
  </si>
  <si>
    <t>9.3.8.1.</t>
  </si>
  <si>
    <t>Nodeva par 1. kategorijas benzīna un aviācijas degvielas (tonnas) uzturēšanu</t>
  </si>
  <si>
    <t>9.3.8.2.</t>
  </si>
  <si>
    <t>Nodeva par 2. kategorijas petrolejas veida reaktīvās degvielas (tonnas) uzturēšanu</t>
  </si>
  <si>
    <t>9.3.8.3.</t>
  </si>
  <si>
    <t>Nodeva par 2. kategorijas petrolejas un dīzeļdegvielas (tonnas) uzturēšanu</t>
  </si>
  <si>
    <t>9.3.8.4.</t>
  </si>
  <si>
    <t>Nodeva par 3. kategorijas degvieleļļas (tonnas) uzturēšanu</t>
  </si>
  <si>
    <t>9.3.9.0.</t>
  </si>
  <si>
    <t>Pārējās speciāliem mērķiem paredzētās valsts nodevas</t>
  </si>
  <si>
    <t>9.3.9.1.</t>
  </si>
  <si>
    <t>Finanšu stabilitātes nodeva</t>
  </si>
  <si>
    <t>9.3.9.2.</t>
  </si>
  <si>
    <t>Autoceļu lietošanas nodeva</t>
  </si>
  <si>
    <t>9.3.9.3.</t>
  </si>
  <si>
    <t>Valsts nodeva par Ieroču un speciālo līdzekļu aprites likumā paredzētā kontrolšāviena ar vītņstobra šaujamieroci izdarīšanu un par šaujamieroča un lielas enerģijas pneimatiskā ieroča dezaktivēšanas apliecinājuma izsniegšanu</t>
  </si>
  <si>
    <t>9.3.9.9.</t>
  </si>
  <si>
    <t>Speciāliem mērķiem paredzētās valsts nodevas, kas nav minētas citos koda 9.3.9.0. apakškodos</t>
  </si>
  <si>
    <t>Valsts nodevas, kuras ieskaita pašvaldību budžetā</t>
  </si>
  <si>
    <t>9.4.1.0.</t>
  </si>
  <si>
    <t>Valsts nodeva par sabiedrisko pakalpojumu regulēšanu</t>
  </si>
  <si>
    <t>9.4.2.0.</t>
  </si>
  <si>
    <t>Valsts nodeva par apliecinājumiem un citu funkciju pildīšanu bāriņtiesās</t>
  </si>
  <si>
    <t>9.4.3.0.</t>
  </si>
  <si>
    <t>Valsts nodeva par uzvārda, vārda un tautības ieraksta maiņu personu apliecinošos dokumentos</t>
  </si>
  <si>
    <t>9.4.4.0.</t>
  </si>
  <si>
    <t>Valsts nodeva par zemes rezervēšanu lauku apvidos</t>
  </si>
  <si>
    <t>9.4.5.0.</t>
  </si>
  <si>
    <t>Valsts nodevas par laulības reģistrāciju, civilstāvokļa akta reģistra ieraksta aktualizēšanu vai atjaunošanu un atkārtotas civilstāvokļa aktu reģistrācijas apliecības izsniegšanu</t>
  </si>
  <si>
    <t>9.4.6.0.</t>
  </si>
  <si>
    <t>Valsts nodeva par speciālu atļauju (licenču) izsniegšanu</t>
  </si>
  <si>
    <t>9.4.9.0.</t>
  </si>
  <si>
    <t>Pārējās valsts nodevas, kuras ieskaita pašvaldību budžetā</t>
  </si>
  <si>
    <t xml:space="preserve">Pašvaldību nodevas </t>
  </si>
  <si>
    <t>9.5.1.1.</t>
  </si>
  <si>
    <t>Pašvaldības nodeva par domes izstrādāto oficiālo dokumentu un apliecinātu to kopiju saņemšanu</t>
  </si>
  <si>
    <t>9.5.1.2.</t>
  </si>
  <si>
    <t>Pašvaldības nodeva par izklaidējoša rakstura pasākumu sarīkošanu publiskās vietās</t>
  </si>
  <si>
    <t>9.5.1.3.</t>
  </si>
  <si>
    <t>Pašvaldības nodeva par atpūtnieku un tūristu uzņemšanu</t>
  </si>
  <si>
    <t>9.5.1.4.</t>
  </si>
  <si>
    <t>Pašvaldības nodeva par tirdzniecību publiskās vietās</t>
  </si>
  <si>
    <t>9.5.1.5.</t>
  </si>
  <si>
    <t>Pašvaldības nodeva par dzīvnieku turēšanu</t>
  </si>
  <si>
    <t>9.5.1.6.</t>
  </si>
  <si>
    <t>Pašvaldības nodeva par transportlīdzekļu iebraukšanu īpaša režīma zonās</t>
  </si>
  <si>
    <t>9.5.1.7.</t>
  </si>
  <si>
    <t>Pašvaldības nodeva par reklāmas, afišu un sludinājumu izvietošanu publiskās vietās</t>
  </si>
  <si>
    <t>9.5.1.8.</t>
  </si>
  <si>
    <t>Pašvaldības nodeva par laivu, motorlaivu un jahtu turēšanu</t>
  </si>
  <si>
    <t>9.5.1.9.</t>
  </si>
  <si>
    <t>Pašvaldības nodeva par pašvaldību simbolikas izmantošanu</t>
  </si>
  <si>
    <t>9.5.2.1.</t>
  </si>
  <si>
    <t>Pašvaldības nodeva par būvatļaujas izdošanu vai būvniecības ieceres akceptu</t>
  </si>
  <si>
    <t>9.5.2.9.</t>
  </si>
  <si>
    <t>Pārējās nodevas, ko uzliek pašvaldības</t>
  </si>
  <si>
    <t>9.9.0.0.</t>
  </si>
  <si>
    <t>Pārējās nodevas</t>
  </si>
  <si>
    <t>9.9.1.0.</t>
  </si>
  <si>
    <t>Pārējās nodevas, kas iemaksātas valsts budžetā</t>
  </si>
  <si>
    <t>9.9.2.0.</t>
  </si>
  <si>
    <t>Pārējās nodevas, kas iemaksātas pašvaldību budžetā</t>
  </si>
  <si>
    <t>10.1.0.0.</t>
  </si>
  <si>
    <t>Naudas sodi</t>
  </si>
  <si>
    <t>10.1.1.0.</t>
  </si>
  <si>
    <t>Naudas sodi, ko uzliek tiesībsargājošās un aizsardzības iestādes</t>
  </si>
  <si>
    <t>10.1.1.1.</t>
  </si>
  <si>
    <t>Naudas sodi, ko uzliek tiesu iestādes</t>
  </si>
  <si>
    <t>10.1.1.2.</t>
  </si>
  <si>
    <t>Naudas sodi, ko uzliek Valsts policija</t>
  </si>
  <si>
    <t>10.1.1.3.</t>
  </si>
  <si>
    <t>Naudas sodi, ko uzliek Korupcijas novēršanas un apkarošanas birojs</t>
  </si>
  <si>
    <t>10.1.1.5.</t>
  </si>
  <si>
    <t>Naudas sodi, ko uzliek Valsts ugunsdzēsības un glābšanas dienests</t>
  </si>
  <si>
    <t>10.1.1.6.</t>
  </si>
  <si>
    <t>Naudas sodi, ko uzliek Jūras spēki</t>
  </si>
  <si>
    <t>10.1.1.7.</t>
  </si>
  <si>
    <t>Naudas sodi, ko uzliek Valsts robežsardze</t>
  </si>
  <si>
    <t>10.1.1.8.</t>
  </si>
  <si>
    <t>Naudas sodi, ko uzliek Autotransporta direkcija</t>
  </si>
  <si>
    <t>10.1.2.0.</t>
  </si>
  <si>
    <t>Naudas sodi, ko uzliek Valsts ieņēmumu dienests</t>
  </si>
  <si>
    <t>10.1.2.1.</t>
  </si>
  <si>
    <t>Naudas sodi, ko uzliek Valsts ieņēmumu dienesta iestādes</t>
  </si>
  <si>
    <t>10.1.2.2.</t>
  </si>
  <si>
    <t>Naudas sodi, ko uzliek Valsts ieņēmumu dienesta Akcīzes preču pārvalde</t>
  </si>
  <si>
    <t>10.1.2.3.</t>
  </si>
  <si>
    <t>Naudas sodi, ko uzliek Valsts ieņēmumu dienesta muitas iestādes</t>
  </si>
  <si>
    <t>10.1.3.0.</t>
  </si>
  <si>
    <t>Naudas sodi par kaitējumu videi</t>
  </si>
  <si>
    <t>10.1.3.1.</t>
  </si>
  <si>
    <t>Naudas sodi par zivju resursiem nodarītajiem zaudējumiem</t>
  </si>
  <si>
    <t>10.1.3.2.</t>
  </si>
  <si>
    <t>Naudas sodi par meža resursiem nodarītajiem kaitējumiem</t>
  </si>
  <si>
    <t>10.1.3.3.</t>
  </si>
  <si>
    <t>Naudas sodi par vides aizsardzības prasību regulējošo tiesību aktu pārkāpumiem</t>
  </si>
  <si>
    <t>Naudas sodi, ko uzliek pašvaldības</t>
  </si>
  <si>
    <t>10.1.5.1.</t>
  </si>
  <si>
    <t>Naudas sodi, ko uzliek Valsts policija par pārkāpumiem ceļu satiksmē, kas fiksēti ar Valsts policijai piederošajiem tehniskajiem līdzekļiem</t>
  </si>
  <si>
    <t>10.1.5.2.</t>
  </si>
  <si>
    <t>Naudas sodi, ko uzliek Valsts policija par pārkāpumiem ceļu satiksmē, kas fiksēti ar komersanta tehniskajiem līdzekļiem</t>
  </si>
  <si>
    <t>10.1.5.3.</t>
  </si>
  <si>
    <t>Pārējie naudas sodi, ko uzliek Valsts policija par pārkāpumiem ceļu satiksmē</t>
  </si>
  <si>
    <t>10.1.5.4.</t>
  </si>
  <si>
    <t>Naudas sodi, ko uzliek pašvaldību institūcijas par pārkāpumiem ceļu satiksmē</t>
  </si>
  <si>
    <t>10.1.9.0.</t>
  </si>
  <si>
    <t>Pārējie naudas sodi</t>
  </si>
  <si>
    <t>10.1.9.1.</t>
  </si>
  <si>
    <t>Naudas sodi, ko uzliek Centrālā Statistikas pārvalde</t>
  </si>
  <si>
    <t>10.1.9.2.</t>
  </si>
  <si>
    <t>Naudas sodi, ko uzliek Datu valsts inspekcija</t>
  </si>
  <si>
    <t>10.1.9.3.</t>
  </si>
  <si>
    <t>Naudas sodi, ko uzliek Pārtikas un veterinārais dienests</t>
  </si>
  <si>
    <t>10.1.9.4.</t>
  </si>
  <si>
    <t>Naudas sodi, ko uzliek Patērētāju tiesību aizsardzības centrs</t>
  </si>
  <si>
    <t>10.1.9.5.</t>
  </si>
  <si>
    <t>Naudas sodi, ko uzliek Valsts valodas centrs</t>
  </si>
  <si>
    <t>10.1.9.6.</t>
  </si>
  <si>
    <t>Naudas sodi, ko uzliek Pilsonības un migrācijas lietu pārvalde</t>
  </si>
  <si>
    <t>10.1.9.7.</t>
  </si>
  <si>
    <t>Naudas sodi, ko uzliek Maksātnespējas administrācija</t>
  </si>
  <si>
    <t>10.1.9.9.</t>
  </si>
  <si>
    <t>Naudas sodi, ko uzliek pārējās iestādes, kas nav klasificētas iepriekšminētajos kodos</t>
  </si>
  <si>
    <t>10.2.0.0.</t>
  </si>
  <si>
    <t>Iemaksas no pārbaudēs atklātām slēpto un samazināto ienākumu summām</t>
  </si>
  <si>
    <t>10.2.1.0.</t>
  </si>
  <si>
    <t>Iemaksas no Valsts ieņēmumu dienesta pārbaudēs atklātām slēpto un samazināto ienākumu summām</t>
  </si>
  <si>
    <t>10.2.2.0.</t>
  </si>
  <si>
    <t>Iemaksas no muitas iestāžu pārbaudēs atklātām slēpto un samazināto ienākumu summām</t>
  </si>
  <si>
    <t>10.2.9.0.</t>
  </si>
  <si>
    <t>Pārējās iemaksas no pārbaudēs atklātām slēpto un samazināto ienākumu summām</t>
  </si>
  <si>
    <t>12.1.0.0.</t>
  </si>
  <si>
    <t>Ieņēmumi no valstij piekritīgās mantas realizācijas</t>
  </si>
  <si>
    <t>12.1.1.0.</t>
  </si>
  <si>
    <t>Ieņēmumi no valstij piekritīgās mantas realizācijas pēc muitas iestādes pieņemtā lēmuma</t>
  </si>
  <si>
    <t>12.1.2.0.</t>
  </si>
  <si>
    <t>Ieņēmumi no valstij piekritīgās mantas realizācijas pēc Valsts ieņēmumu dienesta iestāžu (izņemot muitu) pieņemtā lēmuma</t>
  </si>
  <si>
    <t>12.1.3.0.</t>
  </si>
  <si>
    <t>Ieņēmumi no konfiscēto zvejas rīku, zvejas līdzekļu un zivju realizācijas</t>
  </si>
  <si>
    <t>12.1.4.0.</t>
  </si>
  <si>
    <t>Ieņēmumi no konfiscētās mantas, preču un citu priekšmetu realizācijas pēc Valsts policijas un Valsts robežsardzes pieņemtā lēmuma</t>
  </si>
  <si>
    <t>12.1.5.0.</t>
  </si>
  <si>
    <t>Ieņēmumi no valstij piekritīgās mantas realizācijas saskaņā ar Eiropas Savienības dalībvalstu konfiskācijas rīkojuma izpildi</t>
  </si>
  <si>
    <t>12.1.6.0.</t>
  </si>
  <si>
    <t>Ieņēmumi no konfiscēto noziedzīgi iegūto līdzekļu un papildsoda - mantas konfiskācija - realizācijas</t>
  </si>
  <si>
    <t>12.1.6.1.</t>
  </si>
  <si>
    <t>Ieņēmumi no konfiscēto noziedzīgi iegūto līdzekļu realizācijas, ko budžetā ieskaita zvērināti tiesu izpildītāji</t>
  </si>
  <si>
    <t>12.1.6.2.</t>
  </si>
  <si>
    <t>Ieņēmumi no papildsoda - mantas konfiskācija - realizācijas</t>
  </si>
  <si>
    <t>12.1.6.9.</t>
  </si>
  <si>
    <t>Ieņēmumi no konfiscēto noziedzīgi iegūto līdzekļu realizācijas, ko budžetā ieskaita citas institūcijas</t>
  </si>
  <si>
    <t>12.1.9.0.</t>
  </si>
  <si>
    <t>Ieņēmumi no valstij piekritīgās mantas realizācijas pēc citu valsts institūciju pieņemtā lēmuma</t>
  </si>
  <si>
    <t>12.2.0.0.</t>
  </si>
  <si>
    <t>Nenodokļu ieņēmumi un ieņēmumi no zaudējumu atlīdzībām un kompensācijām</t>
  </si>
  <si>
    <t>12.2.1.0.</t>
  </si>
  <si>
    <t>Ieņēmumi no politisko organizāciju (partiju) pretlikumīgo un anonīmo dāvinājumu (ziedojumu) finanšu līdzekļu pārskaitījuma valsts budžetā</t>
  </si>
  <si>
    <t>12.2.2.0.</t>
  </si>
  <si>
    <t>Ieņēmumi no valsts amatpersonas labprātīgas atlīdzības par valstij nodarīto zaudējumu</t>
  </si>
  <si>
    <t>12.2.3.0.</t>
  </si>
  <si>
    <t>Ieņēmumi no ūdenstilpju un zvejas tiesību nomas un zvejas tiesību rūpnieciskas izmantošanas (licences)</t>
  </si>
  <si>
    <t>12.2.4.0.</t>
  </si>
  <si>
    <t>Ieņēmumi no ūdenstilpju un zvejas tiesību nomas un zvejas tiesību nerūpnieciskas izmantošanas (makšķerēšanas kartes )</t>
  </si>
  <si>
    <t>12.2.5.0.</t>
  </si>
  <si>
    <t>Ieņēmumi no ieturētā nodrošinājuma lauksaimniecības un pārstrādāto lauksaimniecības produktu ārējās tirdzniecības režīma noteikumu kārtības neievērošanu</t>
  </si>
  <si>
    <t>12.2.6.0.</t>
  </si>
  <si>
    <t>Ieņēmumi no zaudējumu atlīdzības par meža resursiem nodarītiem kaitējumiem</t>
  </si>
  <si>
    <t>12.2.7.0.</t>
  </si>
  <si>
    <t>Ieņēmumi no zaudējumu atlīdzības par zivju resursiem nodarītiem zaudējumiem</t>
  </si>
  <si>
    <t>12.2.8.0.</t>
  </si>
  <si>
    <t>Ieņēmumi no zaudējumu atlīdzības par videi nodarītajiem zaudējumiem</t>
  </si>
  <si>
    <t>12.2.9.0.</t>
  </si>
  <si>
    <t>Ieņēmumi no mobilo telekomunikāciju licences izsoles</t>
  </si>
  <si>
    <t>12.3.0.0.</t>
  </si>
  <si>
    <t>Dažādi nenodokļu ieņēmumi</t>
  </si>
  <si>
    <t>12.3.1.0.</t>
  </si>
  <si>
    <t>Ieņēmumi no privatizācijas</t>
  </si>
  <si>
    <t>12.3.1.1.</t>
  </si>
  <si>
    <t>Ieņēmumi no apbūvēta zemesgabala privatizācijas</t>
  </si>
  <si>
    <t>12.3.1.2.</t>
  </si>
  <si>
    <t>Ieņēmumi no dzīvojamo māju privatizācijas</t>
  </si>
  <si>
    <t>12.3.1.3.</t>
  </si>
  <si>
    <t>Ieņēmumi no neapbūvēta zemesgabala privatizācijas</t>
  </si>
  <si>
    <t>12.3.2.0.</t>
  </si>
  <si>
    <t>Kreditoru un deponentu parādu summas, kurām iestājas prasības noilgums</t>
  </si>
  <si>
    <t>12.3.3.0.</t>
  </si>
  <si>
    <t>Kredītiestāžu iemaksas no atgūtajiem zaudētajiem kredītiem</t>
  </si>
  <si>
    <t>12.3.4.0.</t>
  </si>
  <si>
    <t>Ieņēmumi no budžeta iestāžu saņemto un iepriekšējos gados neizlietoto budžeta līdzekļu atmaksāšanas</t>
  </si>
  <si>
    <t>12.3.4.1.</t>
  </si>
  <si>
    <t>Ieņēmumi no budžeta iestādēm atmaksātiem debitoru parādiem Eiropas Savienības politiku instrumentu un pārējās ārvalstu finanšu palīdzības līdzfinansētos projektos (pasākumos)</t>
  </si>
  <si>
    <t>12.3.4.9.</t>
  </si>
  <si>
    <t>Ieņēmumi no budžeta iestādēm atmaksātiem pārējiem debitoru parādiem</t>
  </si>
  <si>
    <t>12.3.6.0.</t>
  </si>
  <si>
    <t>Ostu pārvalžu iemaksas</t>
  </si>
  <si>
    <t>12.3.7.0.</t>
  </si>
  <si>
    <t>Ieņēmumi no Civilās aviācijas aģentūras</t>
  </si>
  <si>
    <t>12.3.9.0.</t>
  </si>
  <si>
    <t>Citi dažādi nenodokļu ieņēmumi</t>
  </si>
  <si>
    <t>12.3.9.3.</t>
  </si>
  <si>
    <t>Piedzītie un labprātīgi atmaksātie līdzekļi</t>
  </si>
  <si>
    <t>12.3.9.4.</t>
  </si>
  <si>
    <t>Ieņēmumi no apdrošinātāja vai biedrības "Latvijas Transportlīdzekļu apdrošinātāju birojs" par atlīdzinātajiem izdevumiem</t>
  </si>
  <si>
    <t>Līgumsodi un procentu maksājumi par saistību neizpildi</t>
  </si>
  <si>
    <t>12.3.9.9.</t>
  </si>
  <si>
    <t>Pārējie dažādi nenodokļu ieņēmumi, kas nav iepriekš klasificēti šajā klasifikācijā</t>
  </si>
  <si>
    <t>13.0.0.0.</t>
  </si>
  <si>
    <t>Ieņēmumi no valsts (pašvaldību) īpašuma iznomāšanas, pārdošanas un no nodokļu pamatparāda kapitalizācijas</t>
  </si>
  <si>
    <t>Ieņēmumi no ēku un būvju īpašuma pārdošanas</t>
  </si>
  <si>
    <t>13.2.0.0.</t>
  </si>
  <si>
    <t>Ieņēmumi no zemes, meža īpašuma pārdošanas</t>
  </si>
  <si>
    <t>13.2.1.0.</t>
  </si>
  <si>
    <t>Ieņēmumi no zemes īpašuma pārdošanas</t>
  </si>
  <si>
    <t>13.2.2.0.</t>
  </si>
  <si>
    <t>Ieņēmumi no meža īpašuma pārdošanas</t>
  </si>
  <si>
    <t>13.3.0.0.</t>
  </si>
  <si>
    <t>Ieņēmumi no nodokļu pamatparāda kapitalizācijas</t>
  </si>
  <si>
    <t>Ieņēmumi no valsts un pašvaldību kustamā īpašuma un mantas realizācijas</t>
  </si>
  <si>
    <t>13.5.0.0.</t>
  </si>
  <si>
    <t>Ieņēmumi no valsts un pašvaldību īpašuma iznomāšanas</t>
  </si>
  <si>
    <t>13.6.0.0.</t>
  </si>
  <si>
    <t>Ieņēmumi no militāro ieroču sistēmu pārdošanas</t>
  </si>
  <si>
    <t>14.0.0.0.</t>
  </si>
  <si>
    <t>Ieņēmumi no valsts rezervju pārdošanas</t>
  </si>
  <si>
    <t>22.4.0.0.</t>
  </si>
  <si>
    <t>Citi valsts sociālās apdrošināšanas speciālā budžeta ieņēmumi saskaņā ar normatīvajiem aktiem</t>
  </si>
  <si>
    <t>22.4.1.0.</t>
  </si>
  <si>
    <t>Regresa prasības</t>
  </si>
  <si>
    <t>22.4.2.0.</t>
  </si>
  <si>
    <t>Ieņēmumi no kapitāldaļu pārdošanas un pārvērtēšanas, vērtspapīru tirdzniecības un pārvērtēšanas</t>
  </si>
  <si>
    <t>22.4.2.1.</t>
  </si>
  <si>
    <t>Dividendes no kapitāla daļām</t>
  </si>
  <si>
    <t>22.4.2.2.</t>
  </si>
  <si>
    <t>22.4.2.3.</t>
  </si>
  <si>
    <t>Ieņēmumi no kapitāla daļu pārvērtēšanas</t>
  </si>
  <si>
    <t>22.4.2.4.</t>
  </si>
  <si>
    <t>Ieņēmumi no ilgtermiņa ieguldījumu sākotnējās atzīšanas iestādes bilancēs</t>
  </si>
  <si>
    <t>22.4.3.0.</t>
  </si>
  <si>
    <t>Uzkrātā fondēto pensiju kapitāla iemaksas valsts pensiju speciālajā budžetā</t>
  </si>
  <si>
    <t>22.4.4.0.</t>
  </si>
  <si>
    <t>VSAA ieņēmumi par valsts fondēto pensiju shēmas administrēšanu</t>
  </si>
  <si>
    <t>22.4.5.0.</t>
  </si>
  <si>
    <t>Iemaksas nodarbinātībai par privatizācijas līguma nosacījumu neizpildi</t>
  </si>
  <si>
    <t>22.4.6.0.</t>
  </si>
  <si>
    <t>Kapitalizācijas rezultātā atgūtie līdzekļi</t>
  </si>
  <si>
    <t>22.4.7.0.</t>
  </si>
  <si>
    <t>Iepriekšējos budžeta periodos valsts sociālās apdrošināšanas speciālā budžeta saņemto un iepriekšējos gados neizlietoto budžeta līdzekļu no īpašiem mērķiem iezīmētiem ieņēmumiem atmaksa</t>
  </si>
  <si>
    <t>22.4.8.0.</t>
  </si>
  <si>
    <t>No Eiropas Savienības pensiju shēmas saņemtais pensiju kapitāls valsts sociālās apdrošināšanas speciālajā budžetā</t>
  </si>
  <si>
    <t>22.4.9.0.</t>
  </si>
  <si>
    <t>Pārējie iepriekš neklasificētie ieņēmumi</t>
  </si>
  <si>
    <t>22.6.0.0.</t>
  </si>
  <si>
    <t>Pārējie valsts sociālās apdrošināšanas speciālā budžeta ieņēmumi</t>
  </si>
  <si>
    <t>22.6.1.0.</t>
  </si>
  <si>
    <t>Ieņēmumi par valsts sociālās apdrošināšanas speciālā budžeta līdzekļu atlikuma izmantošanu</t>
  </si>
  <si>
    <t>22.6.2.0.</t>
  </si>
  <si>
    <t>Ieņēmumi par valsts sociālās apdrošināšanas speciālā budžeta līdzekļu noguldījumiem depozītā</t>
  </si>
  <si>
    <t>22.6.9.0.</t>
  </si>
  <si>
    <t>3.0</t>
  </si>
  <si>
    <t>Maksas pakalpojumi un citi pašu ieņēmumi</t>
  </si>
  <si>
    <t>21.3.0.0.</t>
  </si>
  <si>
    <t>Ieņēmumi no iestāžu sniegtajiem maksas pakalpojumiem un citi pašu ieņēmumi</t>
  </si>
  <si>
    <t>21.3.1.0.</t>
  </si>
  <si>
    <t>Ieņēmumi no valūtas kursa svārstībām attiecībā uz iestāžu sniegtajiem maksas pakalpojumiem un citiem pašu ieņēmumiem</t>
  </si>
  <si>
    <t>21.3.2.0.</t>
  </si>
  <si>
    <t>Ieņēmumu zaudējumi no valūtas kursa svārstībām attiecībā uz iestāžu sniegtajiem maksas pakalpojumiem un citiem pašu ieņēmumiem</t>
  </si>
  <si>
    <t>21.3.4.0.</t>
  </si>
  <si>
    <t>Procentu ieņēmumi par maksas pakalpojumu un citu pašu ieņēmumu ieguldījumiem depozītā vai kontu atlikumiem</t>
  </si>
  <si>
    <t>Maksa par izglītības pakalpojumiem</t>
  </si>
  <si>
    <t>Mācību maksa</t>
  </si>
  <si>
    <t>Ieņēmumi no vecāku maksām</t>
  </si>
  <si>
    <t>Pārējie ieņēmumi par izglītības pakalpojumiem</t>
  </si>
  <si>
    <t>21.3.6.0.</t>
  </si>
  <si>
    <t>Ieņēmumi no lauksaimnieciskās darbības</t>
  </si>
  <si>
    <t>21.3.7.0.</t>
  </si>
  <si>
    <t>Ieņēmumi par dokumentu izsniegšanu un kancelejas pakalpojumiem</t>
  </si>
  <si>
    <t>21.3.7.1.</t>
  </si>
  <si>
    <t>Ieņēmumi par konsulārajiem pakalpojumiem</t>
  </si>
  <si>
    <t>21.3.7.9.</t>
  </si>
  <si>
    <t>Ieņēmumi par pārējo dokumentu izsniegšanu un pārējiem kancelejas pakalpojumiem</t>
  </si>
  <si>
    <t>Ieņēmumi par nomu un īri</t>
  </si>
  <si>
    <t>Ieņēmumi par telpu nomu</t>
  </si>
  <si>
    <t>21.3.8.2.</t>
  </si>
  <si>
    <t>Ieņēmumi par viesnīcu pakalpojumiem</t>
  </si>
  <si>
    <t>21.3.8.3.</t>
  </si>
  <si>
    <t>Ieņēmumi no kustamā īpašuma iznomāšanas</t>
  </si>
  <si>
    <t>Ieņēmumi par zemes nomu</t>
  </si>
  <si>
    <t>Pārējie ieņēmumi par nomu un īri</t>
  </si>
  <si>
    <t>Ieņēmumi par pārējiem sniegtajiem maksas pakalpojumiem</t>
  </si>
  <si>
    <t>21.3.9.1.</t>
  </si>
  <si>
    <t>Maksa par personu uzturēšanos sociālās aprūpes iestādēs</t>
  </si>
  <si>
    <t>21.3.9.2.</t>
  </si>
  <si>
    <t>Ieņēmumi no pacientu iemaksām un sniegtajiem rehabilitācijas un ārstniecības pakalpojumiem</t>
  </si>
  <si>
    <t>21.3.9.3.</t>
  </si>
  <si>
    <t>Ieņēmumi par biļešu realizāciju</t>
  </si>
  <si>
    <t>21.3.9.4.</t>
  </si>
  <si>
    <t>Ieņēmumi par komunālajiem pakalpojumiem</t>
  </si>
  <si>
    <t>21.3.9.5.</t>
  </si>
  <si>
    <t>Ieņēmumi par projektu īstenošanu</t>
  </si>
  <si>
    <t>21.3.9.6.</t>
  </si>
  <si>
    <t>Ieņēmumi par zinātnes projekta īstenošanu</t>
  </si>
  <si>
    <t>21.3.9.7.</t>
  </si>
  <si>
    <t>Iestādes saņemtā atlīdzība no apdrošināšanas sabiedrības par bojātu nekustamo īpašumu un kustamo mantu, t.sk. autoavārijā cietušu automašīnu</t>
  </si>
  <si>
    <t>21.3.9.9.</t>
  </si>
  <si>
    <t>Citi ieņēmumi par maksas pakalpojumiem</t>
  </si>
  <si>
    <t>21.4.0.0.</t>
  </si>
  <si>
    <t>Pārējie 21.3.0.0.grupā neklasificētie iestāžu ieņēmumi par iestāžu sniegtajiem maksas pakalpojumiem un citi pašu ieņēmumi</t>
  </si>
  <si>
    <t>21.4.1.0.</t>
  </si>
  <si>
    <t>Ieņēmumi no palīgražošanas un lauksaimniecības produkcijas ražošanas, pārdošanas un produkcijas pārvērtēšanas</t>
  </si>
  <si>
    <t>21.4.1.1.</t>
  </si>
  <si>
    <t>Ieņēmumi no palīgražošanas</t>
  </si>
  <si>
    <t>21.4.1.2.</t>
  </si>
  <si>
    <t>Ieņēmumi no lauksaimniecības produkcijas ražošanas un pārdošanas</t>
  </si>
  <si>
    <t>21.4.1.3.</t>
  </si>
  <si>
    <t>Ieņēmumi no lauksaimniecības produkcijas pārvērtēšanas</t>
  </si>
  <si>
    <t>21.4.2.0.</t>
  </si>
  <si>
    <t>Pārējie šajā klasifikācijā iepriekš neklasificētie ieņēmumi</t>
  </si>
  <si>
    <t>21.4.2.1.</t>
  </si>
  <si>
    <t>Pārtikas un veterinārā dienesta ieņēmumi par valsts uzraudzības un kontroles darbībām</t>
  </si>
  <si>
    <t>21.4.2.3.</t>
  </si>
  <si>
    <t>Budžeta iestāžu ieņēmumi no valsts rezervju materiālo vērtību realizācijas</t>
  </si>
  <si>
    <t>21.4.2.4.</t>
  </si>
  <si>
    <t>Maksātnespējas administrācijas ieņēmumos ieskaitāmā daļa no uzņēmējdarbības riska valsts nodevas</t>
  </si>
  <si>
    <t>21.4.2.5.</t>
  </si>
  <si>
    <t>Regresa kārtībā piedzītie un īpašiem mērķiem noteiktie ieņēmumi</t>
  </si>
  <si>
    <t>21.4.2.9.</t>
  </si>
  <si>
    <t>Pārējie iepriekš neklasificētie īpašiem mērķiem noteiktie ieņēmumi</t>
  </si>
  <si>
    <t>21.4.9.0.</t>
  </si>
  <si>
    <t>Citi iepriekš neklasificētie pašu ieņēmumi</t>
  </si>
  <si>
    <t>21.4.9.1.</t>
  </si>
  <si>
    <t>Inventarizācijās konstatētie pārpalikumi</t>
  </si>
  <si>
    <t>21.4.9.2.</t>
  </si>
  <si>
    <t>Ieņēmumi no naturālā veidā saņemtajām materiālajām vērtībām</t>
  </si>
  <si>
    <t>21.4.9.3.</t>
  </si>
  <si>
    <t>Nenaudas darījumu ieņēmumi</t>
  </si>
  <si>
    <t>Pārējie iepriekš neklasificētie pašu ieņēmumi</t>
  </si>
  <si>
    <t>22.0.0.0.</t>
  </si>
  <si>
    <t>Citi valsts sociālās apdrošināšanas speciālā budžeta ieņēmumi</t>
  </si>
  <si>
    <t>22.1.0.0.</t>
  </si>
  <si>
    <t>Valsts sociālās apdrošināšanas speciālā budžeta ieņēmumi no valūtas kursa svārstībām</t>
  </si>
  <si>
    <t>22.1.1.0.</t>
  </si>
  <si>
    <t>Ieņēmumi no valūtas kursa svārstībām attiecībā uz valsts sociālās apdrošināšanas speciālā budžeta ieņēmumiem</t>
  </si>
  <si>
    <t>22.1.2.0.</t>
  </si>
  <si>
    <t>Ieņēmumu zaudējumi no valūtas kursa svārstībām attiecībā uz valsts sociālās apdrošināšanas speciālā budžeta ieņēmumiem</t>
  </si>
  <si>
    <t>4.0</t>
  </si>
  <si>
    <t>Ārvalstu finanšu palīdzība</t>
  </si>
  <si>
    <t>4.1</t>
  </si>
  <si>
    <t>Ārvalstu finanšu palīdzība budžetam</t>
  </si>
  <si>
    <t>20.0.0.0.</t>
  </si>
  <si>
    <t>Ieņēmumi no Eiropas Savienības dalībvalstīm un Eiropas Savienības institūcijām un pārējām valstīm un institūcijām, kuras nav Eiropas Savienības dalībvalstis un Eiropas Savienības institūcijas</t>
  </si>
  <si>
    <t>20.3.0.0.</t>
  </si>
  <si>
    <t>Ieņēmumi no struktūrfondiem</t>
  </si>
  <si>
    <t>20.3.1.0.</t>
  </si>
  <si>
    <t>Ieņēmumi no Eiropas Reģionālās attīstības fonda</t>
  </si>
  <si>
    <t>20.3.2.0.</t>
  </si>
  <si>
    <t>Ieņēmumi no Eiropas Sociālā fonda</t>
  </si>
  <si>
    <t>20.4.0.0.</t>
  </si>
  <si>
    <t>Ieņēmumi no Kohēzijas fonda</t>
  </si>
  <si>
    <t>20.5.0.0.</t>
  </si>
  <si>
    <t>Ieņēmumi no Eiropas Savienības Kopējās lauksaimniecības un zivsaimniecības politikas īstenošanas instrumentiem</t>
  </si>
  <si>
    <t>20.5.2.0.</t>
  </si>
  <si>
    <t>Ieņēmumi no Eiropas Lauksaimniecības garantiju fonda</t>
  </si>
  <si>
    <t>20.5.3.0.</t>
  </si>
  <si>
    <t>Ieņēmumi no Eiropas Lauksaimniecības fonda lauku attīstībai</t>
  </si>
  <si>
    <t>20.5.4.0.</t>
  </si>
  <si>
    <t>Ieņēmumi no Eiropas Zivsaimniecības fonda</t>
  </si>
  <si>
    <t>20.5.5.0.</t>
  </si>
  <si>
    <t>Ieņēmumi no Eiropas Jūrlietu un zivsaimniecības fonda</t>
  </si>
  <si>
    <t>20.6.0.0.</t>
  </si>
  <si>
    <t>Pārējie ieņēmumi no Eiropas Savienības</t>
  </si>
  <si>
    <t>20.6.2.0.</t>
  </si>
  <si>
    <t>Ieņēmumi no Eiropas Savienības iniciatīvām</t>
  </si>
  <si>
    <t>20.6.3.0.</t>
  </si>
  <si>
    <t>Ieņēmumi no EIROSTAT par statistisko programmu īstenošanu</t>
  </si>
  <si>
    <t>20.6.4.0.</t>
  </si>
  <si>
    <t>Eiropas Komisijas atmaksa par piedalīšanos Eiropas Patērētāju informācijas centra darbībā</t>
  </si>
  <si>
    <t>20.6.7.0.</t>
  </si>
  <si>
    <t>Ieņēmumi no Eiropas Atbalsta fonda vistrūcīgākajām personām</t>
  </si>
  <si>
    <t>20.6.9.0.</t>
  </si>
  <si>
    <t>20.7.0.0.</t>
  </si>
  <si>
    <t>Atmaksa valsts budžetā par neatbilstoši veiktajiem izdevumiem par Eiropas Savienības politiku instrumentu un pārējās ārvalstu finanšu palīdzības finansēto projektu (pasākumu) īstenošanu</t>
  </si>
  <si>
    <t>20.7.1.0.</t>
  </si>
  <si>
    <t>Atmaksa valsts budžetā par projekta (pasākuma) īstenošanā neatbilstoši veiktajiem izdevumiem no Eiropas Savienības politiku instrumentu un pārējās ārvalstu finanšu palīdzības līdzfinansētās daļas</t>
  </si>
  <si>
    <t>20.7.2.0.</t>
  </si>
  <si>
    <t>Atmaksa valsts budžetā par neatbilstoši veiktajiem izdevumiem no valsts budžeta finansējuma daļas Eiropas Savienības politiku instrumentu un pārējās ārvalstu finanšu palīdzības līdzfinansētajos projektos (pasākumos)</t>
  </si>
  <si>
    <t>20.8.0.0.</t>
  </si>
  <si>
    <t>Ieņēmumi no pārējām valstīm un institūcijām, kuras nav Eiropas Savienības dalībvalstis un Eiropas Savienības institūcijas</t>
  </si>
  <si>
    <t>20.8.1.0.</t>
  </si>
  <si>
    <t>Ieņēmumi no Norvēģijas finanšu instrumenta</t>
  </si>
  <si>
    <t>20.8.2.0.</t>
  </si>
  <si>
    <t>Ieņēmumi no Eiropas Ekonomikas zonas finanšu instrumenta</t>
  </si>
  <si>
    <t>20.8.9.0.</t>
  </si>
  <si>
    <t>Citi ieņēmumi no pārējām valstīm un institūcijām, kuras nav Eiropas Savienības dalībvalstis un Eiropas Savienības institūcijas</t>
  </si>
  <si>
    <t>4.2</t>
  </si>
  <si>
    <t>Ārvalstu finanšu palīdzība iestādes ieņēmumos</t>
  </si>
  <si>
    <t>21.1.0.0.</t>
  </si>
  <si>
    <t>Iestādes ieņēmumi no ārvalstu finanšu palīdzības</t>
  </si>
  <si>
    <t>21.1.1.0.</t>
  </si>
  <si>
    <t>Ieņēmumi no valūtas kursa svārstībām attiecībā uz ārvalstu finanšu palīdzības līdzekļiem</t>
  </si>
  <si>
    <t>21.1.2.0.</t>
  </si>
  <si>
    <t>Ieņēmumu zaudējumi no valūtas kursa svārstībām attiecībā uz ārvalstu finanšu palīdzības līdzekļiem</t>
  </si>
  <si>
    <t>21.1.4.0.</t>
  </si>
  <si>
    <t>Procentu ieņēmumi par ārvalstu finanšu palīdzības budžeta līdzekļu ieguldījumiem depozītā vai kontu atlikumiem</t>
  </si>
  <si>
    <t>21.1.5.0.</t>
  </si>
  <si>
    <t>Eiropas Savienības līdzfinansējums Kohēzijas un Eiropas Savienības struktūrfondu projektu īstenošanai</t>
  </si>
  <si>
    <t>21.1.9.0.</t>
  </si>
  <si>
    <t>Ieņēmumi no citu Eiropas Savienības politiku instrumentu līdzfinansēto projektu un pasākumu īstenošanas un citu valstu finanšu palīdzības programmu īstenošanas, saņemtā ārvalstu finanšu palīdzība</t>
  </si>
  <si>
    <t>21.1.9.1.</t>
  </si>
  <si>
    <t>Ieņēmumi no citu Eiropas Savienības politiku instrumentu līdzfinansēto projektu un pasākumu īstenošanas un saņemtās ārvalstu finanšu palīdzības, kas nav Eiropas Savienības struktūrfondi</t>
  </si>
  <si>
    <t>Ieņēmumi no citu valstu finanšu palīdzības programmu īstenošanas</t>
  </si>
  <si>
    <t>21.1.9.3.</t>
  </si>
  <si>
    <t>Ieņēmumi no saņemtajām atmaksām par iepriekšējos saimnieciskajos gados pārskaitītajiem līdzekļiem Eiropas Savienības politiku instrumentu un pārējās ārvalstu finanšu palīdzības līdzfinansēto projektu (pasākumu) īstenošanai</t>
  </si>
  <si>
    <t>21.1.9.4.</t>
  </si>
  <si>
    <t>Ieņēmumi no vadošā partnera partneru grupas īstenotajiem Eiropas Savienības politiku instrumentu projektiem</t>
  </si>
  <si>
    <t>21.2.0.0.</t>
  </si>
  <si>
    <t>Ārvalstu finanšu palīdzība atmaksām valsts pamatbudžetam</t>
  </si>
  <si>
    <t>21.2.1.0.</t>
  </si>
  <si>
    <t>5.0</t>
  </si>
  <si>
    <t>17.0.0.0.</t>
  </si>
  <si>
    <t>No valsts budžeta daļēji finansēto atvasināto publisko personu un budžeta nefinansēto iestāžu transferti</t>
  </si>
  <si>
    <t>17.1.0.0.</t>
  </si>
  <si>
    <t>Valsts budžeta iestāžu saņemtie transferti no valsts budžeta daļēji finansētām atvasinātām publiskām personām un no budžeta nefinansētām iestādēm</t>
  </si>
  <si>
    <t>17.1.1.0.</t>
  </si>
  <si>
    <t>Valsts budžeta iestāžu saņemtie transferti no savas ministrijas, centrālās valsts iestādes padotībā esošām no valsts budžeta daļēji finansētām atvasinātām publiskām personām un budžeta nefinansētām iestādēm</t>
  </si>
  <si>
    <t>17.1.2.0.</t>
  </si>
  <si>
    <t>Valsts budžeta iestāžu saņemtie transferti no citas ministrijas, centrālās valsts iestādes padotībā esošām no valsts budžeta daļēji finansētām atvasinātām publiskām personām un budžeta nefinansētām iestādēm</t>
  </si>
  <si>
    <t>17.1.3.0.</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</si>
  <si>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</si>
  <si>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17.1.4.0.</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</si>
  <si>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</si>
  <si>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17.2.0.0.</t>
  </si>
  <si>
    <t>Pašvaldību saņemtie transferti no valsts budžeta daļēji finansētām atvasinātām publiskām personām un no budžeta nefinansētām iestādēm</t>
  </si>
  <si>
    <t>17.3.0.0.</t>
  </si>
  <si>
    <t>No valsts budžeta daļēji finansēto atvasināto publisko personu izveidoto iestāžu saņemtie transferti no augstākās iestādes</t>
  </si>
  <si>
    <t>17.4.0.0.</t>
  </si>
  <si>
    <t>Valsts budžeta daļēji finansēto atvasināto publisko personu un budžeta nefinansēto iestāžu saņemtie transferti no citām valsts budžeta daļēji finansētām atvasinātām publiskām personām un budžeta nefinansētām iestādēm</t>
  </si>
  <si>
    <t>17.4.1.0.</t>
  </si>
  <si>
    <t>Valsts budžeta daļēji finansēto atvasināto publisko personu un budžeta nefinansēto iestāžu saņemtie transferti no savas ministrijas, centrālās valsts iestādes padotībā esošām valsts budžeta daļēji finansētām atvasinātām publiskām personām un budžeta nefinansētām iestādēm</t>
  </si>
  <si>
    <t>17.4.2.0.</t>
  </si>
  <si>
    <t>Valsts budžeta daļēji finansēto atvasināto publisko personu un budžeta nefinansēto iestāžu saņemtie transferti no citas ministrijas, centrālās valsts iestādes padotībā esošām valsts budžeta daļēji finansētām atvasinātām publiskām personām un budžeta nefinansētām iestādēm</t>
  </si>
  <si>
    <t>18.0.0.0.</t>
  </si>
  <si>
    <t>18.1.0.0.</t>
  </si>
  <si>
    <t>Valsts pamatbudžeta savstarpējie transferti</t>
  </si>
  <si>
    <t>18.1.1.0.</t>
  </si>
  <si>
    <t>Valsts pamatbudžetā saņemtā atmaksa par valsts budžeta iestāžu veiktajiem izdevumiem Eiropas Savienības politiku instrumentu un pārējās ārvalstu finanšu palīdzības līdzfinansētajos projektos (pasākumos)</t>
  </si>
  <si>
    <t>18.1.3.0.</t>
  </si>
  <si>
    <t>Valsts pamatbudžeta iestāžu saņemtie transferti no valsts pamatbudžeta</t>
  </si>
  <si>
    <t>18.1.3.1.</t>
  </si>
  <si>
    <t>Valsts pamatbudžeta iestāžu saņemtie transferti no valsts pamatbudžeta dotācijas no vispārējiem ieņēmumiem</t>
  </si>
  <si>
    <t>18.1.3.2.</t>
  </si>
  <si>
    <t>Valsts pamatbudžeta iestāžu saņemtie transferti no ārvalstu finanšu palīdzības līdzekļiem</t>
  </si>
  <si>
    <t>18.1.3.7.</t>
  </si>
  <si>
    <t>Valsts pamatbudžeta iestāžu nenaudas (aktīvu saņemšana un pasīvu nodošana bilancē) ieņēmumi no ministrijas vai centrālās iestādes valsts pamatbudžeta, kuras institucionālā padotībā tās atrodas</t>
  </si>
  <si>
    <t>18.1.3.8.</t>
  </si>
  <si>
    <t>Valsts pamatbudžeta iestāžu nenaudas (aktīvu saņemšana un pasīvu nodošana bilancē) darījumu ieņēmumi no citas ministrijas vai centrālās iestādes valsts pamatbudžeta</t>
  </si>
  <si>
    <t>18.1.3.9.</t>
  </si>
  <si>
    <t>Pārējie valsts pamatbudžetā saņemtie transferti no valsts pamatbudžeta</t>
  </si>
  <si>
    <t>18.2.0.0.</t>
  </si>
  <si>
    <t>Valsts speciālajā budžetā saņemtie transferti no valsts pamatbudžeta</t>
  </si>
  <si>
    <t>18.2.1.0.</t>
  </si>
  <si>
    <t>Valsts speciālā budžeta saņemtās dotācijas no valsts pamatbudžeta</t>
  </si>
  <si>
    <t>18.2.1.1.</t>
  </si>
  <si>
    <t>Valsts speciālajā budžetā no valsts pamatbudžeta saņemtā dotācija Valsts sociālās apdrošināšanas aģentūrai valsts budžeta izmaksājamo valsts sociālo pabalstu aprēķināšanai, piešķiršanai</t>
  </si>
  <si>
    <t>18.2.1.2.</t>
  </si>
  <si>
    <t>Valsts iemaksas valsts sociālajai apdrošināšanai valsts pensiju apdrošināšanai</t>
  </si>
  <si>
    <t>18.2.1.3.</t>
  </si>
  <si>
    <t>Valsts iemaksas sociālajai apdrošināšanai bezdarba gadījumam</t>
  </si>
  <si>
    <t>18.2.1.4.</t>
  </si>
  <si>
    <t>Valsts budžeta dotācija apgādnieka zaudējumu pensiju izmaksai</t>
  </si>
  <si>
    <t>18.2.1.5.</t>
  </si>
  <si>
    <t>Valsts budžeta dotācija Augstākās Padomes deputātu pensiju izmaksai</t>
  </si>
  <si>
    <t>18.2.1.7.</t>
  </si>
  <si>
    <t>Dotācija politiski represēto personu pensiju atvieglojumiem</t>
  </si>
  <si>
    <t>18.2.1.8.</t>
  </si>
  <si>
    <t>Pārējās dotācijas no valsts pamatbudžeta</t>
  </si>
  <si>
    <t>18.2.3.0.</t>
  </si>
  <si>
    <t>Pārējie valsts speciālajā budžetā saņemtie transferti no valsts pamatbudžeta</t>
  </si>
  <si>
    <t>18.3.0.0.</t>
  </si>
  <si>
    <t>Valsts budžeta daļēji finansēto atvasināto publisko personu un budžeta nefinansēto iestāžu saņemtie transferti no valsts budžeta</t>
  </si>
  <si>
    <t>18.3.1.0.</t>
  </si>
  <si>
    <t>Valsts budžeta daļēji finansēto atvasināto publisko personu un budžeta nefinansēto iestāžu saņemtie transferti no valsts budžeta noteiktam mērķim</t>
  </si>
  <si>
    <t>18.3.1.1.</t>
  </si>
  <si>
    <t>Valsts budžeta daļēji finansēto atvasināto publisko personu un budžeta nefinansēto iestāžu saņemtie valsts budžeta transferti noteiktam mērķim no ministrijas vai centrālās valsts iestādes budžeta, kuras institucionālā padotībā tās atrodas</t>
  </si>
  <si>
    <t>18.3.1.2.</t>
  </si>
  <si>
    <t>Valsts budžeta daļēji finansēto atvasināto publisko personu un budžeta nefinansēto iestāžu saņemtie valsts budžeta transferti noteiktam mērķim no citas ministrijas vai centrālās valsts iestādes budžeta</t>
  </si>
  <si>
    <t>18.3.1.3.</t>
  </si>
  <si>
    <t>Valsts budžeta daļēji finansēto atvasināto publisko personu un budžeta nefinansēto iestāžu saņemtie transferti no ministrijas vai centrālās valsts iestādes budžeta, kuras institucionālā padotībā tās atrodas, Eiropas Savienības politikas instrumentu un pārējās ārvalstu finanšu palīdzības līdzfinansētajiem projektiem (pasākumiem)</t>
  </si>
  <si>
    <t>18.3.1.4.</t>
  </si>
  <si>
    <t>Valsts budžeta daļēji finansēto atvasināto publisko personu un budžeta nefinansēto iestāžu saņemtie transferti no citas ministrijas vai centrālās valsts iestādes, Eiropas Savienības politikas instrumentu un pārējās ārvalstu finanšu palīdzības līdzfinansētajiem projektiem (pasākumiem)</t>
  </si>
  <si>
    <t>18.3.2.0.</t>
  </si>
  <si>
    <t>Pārējie valsts budžeta daļēji finansēto atvasināto publisko personu un budžeta nefinansēto iestāžu saņemtie transferti no valsts budžeta</t>
  </si>
  <si>
    <t>18.3.2.1.</t>
  </si>
  <si>
    <t>Pārējie valsts budžeta daļēji finansēto atvasināto publisko personu un budžeta nefinansēto iestāžu saņemtie transferti no ministrijas vai centrālās valsts iestādes budžeta, kuras institucionālās padotībā tās atrodas</t>
  </si>
  <si>
    <t>18.3.2.2.</t>
  </si>
  <si>
    <t>Pārējie valsts budžeta daļēji finansēto atvasināto publisko personu un budžeta nefinansēto iestāžu saņemtie transferti no citas ministrijas vai centrālās valsts iestādes budžeta</t>
  </si>
  <si>
    <t>18.4.0.0.</t>
  </si>
  <si>
    <t>Valsts pamatbudžetā saņemtie transferti no valsts speciālā budžeta</t>
  </si>
  <si>
    <t>18.5.0.0.</t>
  </si>
  <si>
    <t>Valsts speciālā budžeta savstarpējie transferti</t>
  </si>
  <si>
    <t>18.5.2.0.</t>
  </si>
  <si>
    <t>Valsts sociālās apdrošināšanas speciālā budžeta transferti</t>
  </si>
  <si>
    <t>18.5.2.1.</t>
  </si>
  <si>
    <t>No nodarbinātības speciālā budžeta valsts pensiju apdrošināšanai</t>
  </si>
  <si>
    <t>18.5.2.2.</t>
  </si>
  <si>
    <t>No darba negadījumu speciālā budžeta valsts pensiju apdrošināšanai</t>
  </si>
  <si>
    <t>18.5.2.3.</t>
  </si>
  <si>
    <t>No invaliditātes, maternitātes un slimības speciālā budžeta valsts pensiju apdrošināšanai</t>
  </si>
  <si>
    <t>18.5.2.4.</t>
  </si>
  <si>
    <t>No darba negadījumu speciālā budžeta sociālajai apdrošināšanai bezdarba gadījumam</t>
  </si>
  <si>
    <t>18.5.2.5.</t>
  </si>
  <si>
    <t>No invaliditātes, maternitātes un slimības speciālā budžeta sociālajai apdrošināšanai bezdarba gadījumam</t>
  </si>
  <si>
    <t>18.5.2.6.</t>
  </si>
  <si>
    <t>No valsts pensiju speciālā budžeta ieskaitītie līdzekļi Valsts sociālās apdrošināšanas aģentūrai</t>
  </si>
  <si>
    <t>18.5.2.7.</t>
  </si>
  <si>
    <t>No nodarbinātības speciālā budžeta ieskaitītie līdzekļi Valsts sociālās apdrošināšanas aģentūrai</t>
  </si>
  <si>
    <t>18.5.2.8.</t>
  </si>
  <si>
    <t>No darba negadījumu speciālā budžeta ieskaitītie līdzekļi Valsts sociālās apdrošināšanas aģentūrai</t>
  </si>
  <si>
    <t>18.5.2.9.</t>
  </si>
  <si>
    <t>No invaliditātes, maternitātes un slimības speciālā budžeta ieskaitītie līdzekļi Valsts sociālās apdrošināšanas aģentūrai</t>
  </si>
  <si>
    <t>18.5.3.0.</t>
  </si>
  <si>
    <t>Saņemtie transferti viena speciālā budžeta veida ietvaros</t>
  </si>
  <si>
    <t>18.6.0.0.</t>
  </si>
  <si>
    <t>Pašvaldību saņemtie transferti no valsts budžeta</t>
  </si>
  <si>
    <t>Pašvaldību saņemtie valsts budžeta transferti noteiktam mērķim</t>
  </si>
  <si>
    <t>18.6.3.0.</t>
  </si>
  <si>
    <t>Pašvaldību no valsts budžeta iestādēm saņemtie transferti Eiropas Savienības politiku instrumentu un pārējās ārvalstu finanšu palīdzības līdzfinansētajiem projektiem (pasākumiem)</t>
  </si>
  <si>
    <t>18.6.4.0.</t>
  </si>
  <si>
    <t>Pašvaldību budžetā saņemtā dotācija no pašvaldību finanšu izlīdzināšanas fonda</t>
  </si>
  <si>
    <t>Pārējie pašvaldību saņemtie valsts budžeta iestāžu transferti</t>
  </si>
  <si>
    <t>19.0.0.0.</t>
  </si>
  <si>
    <t>Pašvaldību budžetu transferti</t>
  </si>
  <si>
    <t>19.1.0.0.</t>
  </si>
  <si>
    <t>Pašvaldības budžeta iekšējie transferti starp vienas pašvaldības budžeta veidiem</t>
  </si>
  <si>
    <t>19.2.0.0.</t>
  </si>
  <si>
    <t>Pašvaldību saņemtie transferti no citām pašvaldībām</t>
  </si>
  <si>
    <t>19.3.0.0.</t>
  </si>
  <si>
    <t>Pašvaldības un tās iestāžu savstarpējie transferti</t>
  </si>
  <si>
    <t>19.5.0.0.</t>
  </si>
  <si>
    <t>Valsts budžeta iestāžu saņemtie transferti no pašvaldībām</t>
  </si>
  <si>
    <t>19.5.5.0.</t>
  </si>
  <si>
    <t>Valsts budžeta iestāžu saņemtie transferti (izņemot atmaksas) no pašvaldībām</t>
  </si>
  <si>
    <t>19.5.6.0.</t>
  </si>
  <si>
    <t>Valsts budžeta iestāžu saņemtā atmaksa no pašvaldībām par iepriekšējos gados saņemtajiem un neizlietotajiem valsts budžeta transfertiem</t>
  </si>
  <si>
    <t>19.5.7.0.</t>
  </si>
  <si>
    <t>Valsts budžeta iestāžu saņemtā atmaksa no pašvaldībām par Eiropas Savienības politiku instrumentu un pārējās ārvalstu finanšu palīdzības līdzfinansētajos projektos (pasākumos) piešķirtajiem līdzekļiem</t>
  </si>
  <si>
    <t>19.7.0.0.</t>
  </si>
  <si>
    <t>Valsts budžeta daļēji finansēto atvasināto publisko personu un budžeta nefinansēto iestāžu saņemtie transferti no pašvaldībām</t>
  </si>
  <si>
    <t>6.0</t>
  </si>
  <si>
    <t>Ziedojumi un dāvinājumi</t>
  </si>
  <si>
    <t>23.0.0.0.</t>
  </si>
  <si>
    <t>Saņemtie ziedojumi un dāvinājumi</t>
  </si>
  <si>
    <t>23.1.0.0.</t>
  </si>
  <si>
    <t>Ziedojumu un dāvinājumu ieņēmumu no valūtas kursa svārstībām</t>
  </si>
  <si>
    <t>23.1.1.0.</t>
  </si>
  <si>
    <t>Ieņēmumi no valūtas kursa svārstībām attiecībā uz ziedojumu un dāvinājumu ieņēmumiem</t>
  </si>
  <si>
    <t>23.1.2.0.</t>
  </si>
  <si>
    <t>Ieņēmumu zaudējumi no valūtas kursa svārstībām attiecībā uz ziedojumu un dāvinājumu ieņēmumiem</t>
  </si>
  <si>
    <t>23.3.0.0.</t>
  </si>
  <si>
    <t>Procentu ieņēmumi par ziedojumu un dāvinājumu budžeta līdzekļu depozītā vai kontu atlikumiem</t>
  </si>
  <si>
    <t>23.4.0.0.</t>
  </si>
  <si>
    <t>Ziedojumi un dāvinājumi, kas saņemti no juridiskajām personām</t>
  </si>
  <si>
    <t>23.4.1.0.</t>
  </si>
  <si>
    <t>Juridisku personu ziedojumi un dāvinājumi naudā</t>
  </si>
  <si>
    <t>23.4.2.0.</t>
  </si>
  <si>
    <t>Juridisku personu ziedojumi un dāvinājumi naturālā veidā</t>
  </si>
  <si>
    <t>23.5.0.0.</t>
  </si>
  <si>
    <t>Ziedojumi un dāvinājumi, kas saņemti no fiziskajām personām</t>
  </si>
  <si>
    <t>23.5.1.0.</t>
  </si>
  <si>
    <t>Fizisko personu ziedojumi un dāvinājumi naudā</t>
  </si>
  <si>
    <t>23.5.2.0.</t>
  </si>
  <si>
    <t>Fizisko personu ziedojumi un dāvinājumi naturālā veidā</t>
  </si>
  <si>
    <t>7.0</t>
  </si>
  <si>
    <t>Dotācija no vispārējiem ieņēmumiem</t>
  </si>
  <si>
    <t>21.7.0.0.</t>
  </si>
  <si>
    <t>21.7.1.0.</t>
  </si>
  <si>
    <t>Vispārējā kārtībā sadalāmā dotācija no vispārējiem ieņēmumiem</t>
  </si>
  <si>
    <t>21.7.2.0.</t>
  </si>
  <si>
    <t>Dotācija no vispārējiem ieņēmumiem atmaksām valsts pamatbudžetā</t>
  </si>
  <si>
    <t>II.</t>
  </si>
  <si>
    <t>KOPĀ IZDEVUMI</t>
  </si>
  <si>
    <t>II.1</t>
  </si>
  <si>
    <t>Izdevumi atbilstoši funkcionālajām kategorijām</t>
  </si>
  <si>
    <t>01.000</t>
  </si>
  <si>
    <t>02.000</t>
  </si>
  <si>
    <t>Aizsardzība</t>
  </si>
  <si>
    <t>03.000</t>
  </si>
  <si>
    <t>04.000</t>
  </si>
  <si>
    <t>Ekonomiskā darbība</t>
  </si>
  <si>
    <t>05.000</t>
  </si>
  <si>
    <t>Vides aizsardzība</t>
  </si>
  <si>
    <t>06.000</t>
  </si>
  <si>
    <t>Teritoriju un mājokļu apsaimniekošana</t>
  </si>
  <si>
    <t>07.000</t>
  </si>
  <si>
    <t>Veselība</t>
  </si>
  <si>
    <t>08.000</t>
  </si>
  <si>
    <t>09.000</t>
  </si>
  <si>
    <t>10.000</t>
  </si>
  <si>
    <t>II.2</t>
  </si>
  <si>
    <t>Izdevumi atbilstoši ekonomiskajām kategorijām</t>
  </si>
  <si>
    <t>1.0.</t>
  </si>
  <si>
    <t>Uzturēšanas izdevumi</t>
  </si>
  <si>
    <t>Kārtējie izdevumi</t>
  </si>
  <si>
    <t>1000</t>
  </si>
  <si>
    <t>Atlīdzība</t>
  </si>
  <si>
    <t>1100</t>
  </si>
  <si>
    <t>Atalgojums</t>
  </si>
  <si>
    <t>1110</t>
  </si>
  <si>
    <t>Mēnešalga</t>
  </si>
  <si>
    <t>1111</t>
  </si>
  <si>
    <t>Deputātu mēnešalga</t>
  </si>
  <si>
    <t>1112</t>
  </si>
  <si>
    <t>Saeimas frakciju, komisiju un administrācijas darbinieku mēnešalga</t>
  </si>
  <si>
    <t>1113</t>
  </si>
  <si>
    <t>Ministru kabineta locekļu, valsts ministru un ministriju parlamentāro sekretāru mēnešalga</t>
  </si>
  <si>
    <t>1114</t>
  </si>
  <si>
    <t>Valsts civildienesta ierēdņu mēnešalga</t>
  </si>
  <si>
    <t>1115</t>
  </si>
  <si>
    <t>Specializētā valsts civildienesta ierēdņu mēnešalga</t>
  </si>
  <si>
    <t>1116</t>
  </si>
  <si>
    <t>Mēnešalga amatpersonām ar speciālajām dienesta pakāpēm</t>
  </si>
  <si>
    <t>1119</t>
  </si>
  <si>
    <t>Pārējo darbinieku mēnešalga (darba alga)</t>
  </si>
  <si>
    <t>1140</t>
  </si>
  <si>
    <t>Piemaksas, prēmijas un naudas balvas</t>
  </si>
  <si>
    <t>1141</t>
  </si>
  <si>
    <t>Piemaksa par nakts darbu</t>
  </si>
  <si>
    <t>1142</t>
  </si>
  <si>
    <t>Samaksa par virsstundu darbu un darbu svētku dienās</t>
  </si>
  <si>
    <t>1143</t>
  </si>
  <si>
    <t>Piemaksas par speciālo dienesta pakāpi un diplomātisko rangu</t>
  </si>
  <si>
    <t>1144</t>
  </si>
  <si>
    <t>Piemaksa par izdienu</t>
  </si>
  <si>
    <t>1145</t>
  </si>
  <si>
    <t>Piemaksa par darbu īpašos apstākļos, speciālās piemaksas</t>
  </si>
  <si>
    <t>1146</t>
  </si>
  <si>
    <t>Piemaksa par personisko darba ieguldījumu un darba kvalitāti</t>
  </si>
  <si>
    <t>1147</t>
  </si>
  <si>
    <t>Piemaksa par papildu darbu</t>
  </si>
  <si>
    <t>1148</t>
  </si>
  <si>
    <t>Prēmijas un naudas balvas</t>
  </si>
  <si>
    <t>1149</t>
  </si>
  <si>
    <t>Citas normatīvajos aktos noteiktās piemaksas, kas nav iepriekš klasificētas</t>
  </si>
  <si>
    <t>1150</t>
  </si>
  <si>
    <t>Atalgojums fiziskajām personām uz tiesiskās attiecības regulējošu dokumentu pamata</t>
  </si>
  <si>
    <t>1170</t>
  </si>
  <si>
    <t>Darba devēja piešķirtie labumi un maksājumi</t>
  </si>
  <si>
    <t>1200</t>
  </si>
  <si>
    <t>Darba devēja valsts sociālās apdrošināšanas obligātās iemaksas, pabalsti un kompensācijas</t>
  </si>
  <si>
    <t>1210</t>
  </si>
  <si>
    <t>Darba devēja valsts sociālās apdrošināšanas obligātās iemaksas</t>
  </si>
  <si>
    <t>1220</t>
  </si>
  <si>
    <t>Darba devēja pabalsti, kompensācijas un citi maksājumi</t>
  </si>
  <si>
    <t>1221</t>
  </si>
  <si>
    <t>Darba devēja pabalsti un kompensācijas, no kuriem aprēķina iedzīvotāju ienākuma nodokli un valsts sociālās apdrošināšanas obligātās iemaksas</t>
  </si>
  <si>
    <t>1222</t>
  </si>
  <si>
    <t>Studējošo kredītu dzēšana no piešķirtajiem budžeta līdzekļiem</t>
  </si>
  <si>
    <t>1223</t>
  </si>
  <si>
    <t>Mācību maksas kompensācija</t>
  </si>
  <si>
    <t>1224</t>
  </si>
  <si>
    <t>Ārvalstīs nodarbināto amatpersonu (darbinieku) pabalsti un kompensācijas</t>
  </si>
  <si>
    <t>1225</t>
  </si>
  <si>
    <t>Uzturdevas kompensācija</t>
  </si>
  <si>
    <t>1226</t>
  </si>
  <si>
    <t>Dienesta pienākumu izpildei nepieciešamā apģērba iegādes kompensācija</t>
  </si>
  <si>
    <t>1227</t>
  </si>
  <si>
    <t>Darba devēja izdevumi veselības, dzīvības un nelaimes gadījumu apdrošināšanai</t>
  </si>
  <si>
    <t>1228</t>
  </si>
  <si>
    <t>Darba devēja pabalsti un kompensācijas, no kā neaprēķina iedzīvotāju ienākuma nodokli un valsts sociālās apdrošināšanas obligātās iemaksas</t>
  </si>
  <si>
    <t>1230</t>
  </si>
  <si>
    <t>Darbības ar valsts fondēto pensiju shēmas līdzekļiem</t>
  </si>
  <si>
    <t>2000</t>
  </si>
  <si>
    <t>Preces un pakalpojumi</t>
  </si>
  <si>
    <t>2100</t>
  </si>
  <si>
    <t>Mācību, darba un dienesta komandējumi, darba braucieni</t>
  </si>
  <si>
    <t>2110</t>
  </si>
  <si>
    <t>Iekšzemes mācību, darba un dienesta komandējumi, darba braucieni</t>
  </si>
  <si>
    <t>2111</t>
  </si>
  <si>
    <t>Dienas nauda</t>
  </si>
  <si>
    <t>2112</t>
  </si>
  <si>
    <t>Pārējie komandējumu un darba braucienu izdevumi</t>
  </si>
  <si>
    <t>2120</t>
  </si>
  <si>
    <t>Ārvalstu mācību, darba un dienesta komandējumi, darba braucieni</t>
  </si>
  <si>
    <t>2121</t>
  </si>
  <si>
    <t>2122</t>
  </si>
  <si>
    <t>2200</t>
  </si>
  <si>
    <t>Pakalpojumi</t>
  </si>
  <si>
    <t>2210</t>
  </si>
  <si>
    <t>Pasta, telefona un citi sakaru pakalpojumi</t>
  </si>
  <si>
    <t>2211</t>
  </si>
  <si>
    <t>Valsts nozīmes datu pārraides tīkla pakalpojumi (pieslēguma punkta abonēšanas maksa, pieslēguma punkta ierīkošanas maksa un citi izdevumi)</t>
  </si>
  <si>
    <t>2219</t>
  </si>
  <si>
    <t>Pārējie sakaru pakalpojumi</t>
  </si>
  <si>
    <t>2220</t>
  </si>
  <si>
    <t>Izdevumi par komunālajiem pakalpojumiem</t>
  </si>
  <si>
    <t>2221</t>
  </si>
  <si>
    <t>Izdevumi par siltumenerģiju, tai skaitā apkuri</t>
  </si>
  <si>
    <t>2222</t>
  </si>
  <si>
    <t>Izdevumi par ūdeni un kanalizāciju</t>
  </si>
  <si>
    <t>2223</t>
  </si>
  <si>
    <t>Izdevumi par elektroenerģiju</t>
  </si>
  <si>
    <t>2224</t>
  </si>
  <si>
    <t>Izdevumi par atkritumu savākšanu, izvešanu no apdzīvotām vietām un teritorijām ārpus apdzīvotām vietām un atkritumu utilizāciju</t>
  </si>
  <si>
    <t>2229</t>
  </si>
  <si>
    <t>Izdevumi par pārējiem komunālajiem pakalpojumiem</t>
  </si>
  <si>
    <t>2230</t>
  </si>
  <si>
    <t>Iestādes administratīvie izdevumi un ar iestādes darbības nodrošināšanu saistītie izdevumi</t>
  </si>
  <si>
    <t>2231</t>
  </si>
  <si>
    <t>Administratīvie izdevumi un sabiedriskās attiecības</t>
  </si>
  <si>
    <t>2232</t>
  </si>
  <si>
    <t>Auditoru, tulku pakalpojumi, izdevumi par iestāžu pasūtītajiem pētījumiem</t>
  </si>
  <si>
    <t>2233</t>
  </si>
  <si>
    <t>Izdevumi par transporta pakalpojumiem</t>
  </si>
  <si>
    <t>2234</t>
  </si>
  <si>
    <t>Normatīvajos aktos noteiktie darba devēja veselības izdevumi darba ņēmējiem</t>
  </si>
  <si>
    <t>2235</t>
  </si>
  <si>
    <t>Izdevumi par saņemtajiem apmācību pakalpojumiem</t>
  </si>
  <si>
    <t>2236</t>
  </si>
  <si>
    <t>Bankas komisija, pakalpojumi</t>
  </si>
  <si>
    <t>2237</t>
  </si>
  <si>
    <t>Ārvalstīs strādājošo darbinieku bērna pirmsskolas un skolas izdevumu kompensācija</t>
  </si>
  <si>
    <t>2238</t>
  </si>
  <si>
    <t>Ārvalstīs strādājošo darbinieku dzīvokļa īres un komunālo izdevumu kompensācija</t>
  </si>
  <si>
    <t>2239</t>
  </si>
  <si>
    <t>Pārējie iestādes administratīvie izdevumi</t>
  </si>
  <si>
    <t>2240</t>
  </si>
  <si>
    <t>Remontdarbi un iestāžu uzturēšanas pakalpojumi (izņemot kapitālo remontu)</t>
  </si>
  <si>
    <t>2241</t>
  </si>
  <si>
    <t>Ēku, būvju un telpu kārtējais remonts</t>
  </si>
  <si>
    <t>2242</t>
  </si>
  <si>
    <t>Transportlīdzekļu uzturēšana un remonts</t>
  </si>
  <si>
    <t>2243</t>
  </si>
  <si>
    <t>Iekārtas, inventāra un aparatūras remonts, tehniskā apkalpošana</t>
  </si>
  <si>
    <t>2244</t>
  </si>
  <si>
    <t>Nekustamā īpašuma uzturēšana</t>
  </si>
  <si>
    <t>2246</t>
  </si>
  <si>
    <t>Autoceļu un ielu pārvaldīšana un uzturēšana</t>
  </si>
  <si>
    <t>2247</t>
  </si>
  <si>
    <t>Apdrošināšanas izdevumi</t>
  </si>
  <si>
    <t>2248</t>
  </si>
  <si>
    <t>Profesionālās darbības civiltiesiskās atbildības apdrošināšanas izdevumi</t>
  </si>
  <si>
    <t>2249</t>
  </si>
  <si>
    <t>Pārējie remontdarbu un iestāžu uzturēšanas pakalpojumi</t>
  </si>
  <si>
    <t>2250</t>
  </si>
  <si>
    <t>Informācijas tehnoloģiju pakalpojumi</t>
  </si>
  <si>
    <t>2251</t>
  </si>
  <si>
    <t>Informācijas sistēmas uzturēšana</t>
  </si>
  <si>
    <t>2252</t>
  </si>
  <si>
    <t>Informācijas sistēmas licenču nomas izdevumi</t>
  </si>
  <si>
    <t>2259</t>
  </si>
  <si>
    <t>Pārējie informācijas tehnoloģiju pakalpojumi</t>
  </si>
  <si>
    <t>2260</t>
  </si>
  <si>
    <t>Īre un noma</t>
  </si>
  <si>
    <t>2261</t>
  </si>
  <si>
    <t>Ēku, telpu īre un noma</t>
  </si>
  <si>
    <t>2262</t>
  </si>
  <si>
    <t>Transportlīdzekļu noma</t>
  </si>
  <si>
    <t>2263</t>
  </si>
  <si>
    <t>Zemes noma</t>
  </si>
  <si>
    <t>2264</t>
  </si>
  <si>
    <t>Iekārtu, aparatūras un inventāra īre un noma</t>
  </si>
  <si>
    <t>2269</t>
  </si>
  <si>
    <t>Pārējā noma</t>
  </si>
  <si>
    <t>2270</t>
  </si>
  <si>
    <t>Citi pakalpojumi</t>
  </si>
  <si>
    <t>2271</t>
  </si>
  <si>
    <t>Izdevumi, kas saistīti ar operatīvo darbību</t>
  </si>
  <si>
    <t>2272</t>
  </si>
  <si>
    <t>Izdevumi par tiesvedības darbiem</t>
  </si>
  <si>
    <t>2273</t>
  </si>
  <si>
    <t>Maksa par zinātniskās pētniecības darbu izpildi</t>
  </si>
  <si>
    <t>2274</t>
  </si>
  <si>
    <t>Ar brīvprātīgā darba veikšanu saistītie izdevumi</t>
  </si>
  <si>
    <t>2275</t>
  </si>
  <si>
    <t>Pašvaldību līdzekļi neparedzētiem gadījumiem</t>
  </si>
  <si>
    <t>2276</t>
  </si>
  <si>
    <t>Izdevumi juridiskās palīdzības sniedzējiem un zvērinātiem tiesu izpildītājiem</t>
  </si>
  <si>
    <t>2277</t>
  </si>
  <si>
    <t>Izdevumi normatīvajos aktos noteikto fiziskās sagatavotības pārbaužu, sacensību un citu sporta pasākumu īstenošanai</t>
  </si>
  <si>
    <t>2279</t>
  </si>
  <si>
    <t>Pārējie iepriekš neklasificētie pakalpojumu veidi</t>
  </si>
  <si>
    <t>2280</t>
  </si>
  <si>
    <t>Maksājumi par saņemtajiem finanšu pakalpojumiem</t>
  </si>
  <si>
    <t>2281</t>
  </si>
  <si>
    <t>Maksājumi par valsts parāda apkalpošanu</t>
  </si>
  <si>
    <t>2282</t>
  </si>
  <si>
    <t>Komisijas maksas par izmantotajiem atvasinātajiem finanšu instrumentiem</t>
  </si>
  <si>
    <t>2283</t>
  </si>
  <si>
    <t>Maksājumi par pašvaldību parāda apkalpošanu</t>
  </si>
  <si>
    <t>2284</t>
  </si>
  <si>
    <t>No valsts budžeta daļēji finansēto atvasināto publisko personu maksājumi par parāda apkalpošanu</t>
  </si>
  <si>
    <t>2300</t>
  </si>
  <si>
    <t>Krājumi, materiāli, energoresursi, preces, biroja preces un inventārs, kurus neuzskaita kodā 5000</t>
  </si>
  <si>
    <t>2310</t>
  </si>
  <si>
    <t>Izdevumi par precēm iestādes darbības nodrošināšanai</t>
  </si>
  <si>
    <t>2311</t>
  </si>
  <si>
    <t>Biroja preces</t>
  </si>
  <si>
    <t>2312</t>
  </si>
  <si>
    <t>Inventārs</t>
  </si>
  <si>
    <t>2313</t>
  </si>
  <si>
    <t>Spectērpi</t>
  </si>
  <si>
    <t>2314</t>
  </si>
  <si>
    <t>Izdevumi par precēm iestādes administratīvās darbības nodrošināšanai un sabiedrisko attiecību īstenošanai</t>
  </si>
  <si>
    <t>2320</t>
  </si>
  <si>
    <t>Kurināmais un enerģētiskie materiāli</t>
  </si>
  <si>
    <t>2321</t>
  </si>
  <si>
    <t>Kurināmais</t>
  </si>
  <si>
    <t>2322</t>
  </si>
  <si>
    <t>Degviela</t>
  </si>
  <si>
    <t>2329</t>
  </si>
  <si>
    <t>Pārējie enerģētiskie materiāli</t>
  </si>
  <si>
    <t>2330</t>
  </si>
  <si>
    <t>Materiāli un izejvielas palīgražošanai</t>
  </si>
  <si>
    <t>2340</t>
  </si>
  <si>
    <t>Zāles, ķimikālijas, laboratorijas preces, medicīniskās ierīces, medicīniskie instrumenti, laboratorijas dzīvnieki un to uzturēšana</t>
  </si>
  <si>
    <t>2341</t>
  </si>
  <si>
    <t>Zāles, ķimikālijas, laboratorijas preces</t>
  </si>
  <si>
    <t>2343</t>
  </si>
  <si>
    <t>Asins iegāde</t>
  </si>
  <si>
    <t>2344</t>
  </si>
  <si>
    <t>Medicīnas instrumenti, laboratorijas dzīvnieki un to uzturēšana</t>
  </si>
  <si>
    <t>2350</t>
  </si>
  <si>
    <t>Kārtējā remonta un iestāžu uzturēšanas materiāli</t>
  </si>
  <si>
    <t>2360</t>
  </si>
  <si>
    <t>Valsts un pašvaldību aprūpē un apgādē esošo personu uzturēšana</t>
  </si>
  <si>
    <t>2361</t>
  </si>
  <si>
    <t>Mīkstais inventārs</t>
  </si>
  <si>
    <t>2362</t>
  </si>
  <si>
    <t>Virtuves inventārs, trauki un galda piederumi</t>
  </si>
  <si>
    <t>2363</t>
  </si>
  <si>
    <t>Ēdināšanas izdevumi</t>
  </si>
  <si>
    <t>2364</t>
  </si>
  <si>
    <t>Formas tērpi un speciālais apģērbs</t>
  </si>
  <si>
    <t>2365</t>
  </si>
  <si>
    <t>Uzturdevas kompensācija naudā</t>
  </si>
  <si>
    <t>2366</t>
  </si>
  <si>
    <t>Apdrošināšanas izdevumi veselības, dzīvības un nelaimes gadījumu apdrošināšanai</t>
  </si>
  <si>
    <t>2369</t>
  </si>
  <si>
    <t>Pārējie valsts un pašvaldību aprūpē un apgādē esošo personu uzturēšanas izdevumi, kuri nav minēti citos koda 2360 apakškodos</t>
  </si>
  <si>
    <t>2370</t>
  </si>
  <si>
    <t>Mācību līdzekļi un materiāli</t>
  </si>
  <si>
    <t>2380</t>
  </si>
  <si>
    <t>Specifiskie materiāli un inventārs</t>
  </si>
  <si>
    <t>2381</t>
  </si>
  <si>
    <t>Munīcija</t>
  </si>
  <si>
    <t>2382</t>
  </si>
  <si>
    <t>Speciālais militārais inventārs</t>
  </si>
  <si>
    <t>2389</t>
  </si>
  <si>
    <t>Pārējie specifiskas lietošanas materiāli un inventārs</t>
  </si>
  <si>
    <t>2390</t>
  </si>
  <si>
    <t>Pārējās preces</t>
  </si>
  <si>
    <t>2400</t>
  </si>
  <si>
    <t>Izdevumi periodikas iegādei</t>
  </si>
  <si>
    <t>2500</t>
  </si>
  <si>
    <t>Budžeta iestāžu nodokļu, nodevu un naudas sodu maksājumi</t>
  </si>
  <si>
    <t>2510</t>
  </si>
  <si>
    <t>Budžeta iestāžu nodokļu maksājumi</t>
  </si>
  <si>
    <t>2512</t>
  </si>
  <si>
    <t>Budžeta iestāžu pievienotās vērtības nodokļa maksājumi</t>
  </si>
  <si>
    <t>2513</t>
  </si>
  <si>
    <t>Budžeta iestāžu nekustamā īpašuma nodokļa (t.sk. zemes nodokļa parāda) maksājumi budžetā</t>
  </si>
  <si>
    <t>2514</t>
  </si>
  <si>
    <t>Iedzīvotāju ienākuma nodoklis (no maksātnespējīgā darba devēja darbinieku prasījumu summām)</t>
  </si>
  <si>
    <t>2515</t>
  </si>
  <si>
    <t>Budžeta iestāžu dabas resursu nodokļa maksājumi</t>
  </si>
  <si>
    <t>2516</t>
  </si>
  <si>
    <t>Valsts sociālās apdrošināšanas obligātās iemaksas (no maksātnespējīgā darba devēja darbinieku prasījumu summām)</t>
  </si>
  <si>
    <t>2519</t>
  </si>
  <si>
    <t>Pārējie budžeta iestāžu pārskaitītie nodokļi un nodevas</t>
  </si>
  <si>
    <t>2520</t>
  </si>
  <si>
    <t>Budžeta iestāžu naudas sodu maksājumi</t>
  </si>
  <si>
    <t>2800</t>
  </si>
  <si>
    <t>Pakalpojumi, kurus budžeta iestādes apmaksā noteikto funkciju ietvaros, kas nav iestādes administratīvie izdevumi</t>
  </si>
  <si>
    <t>Procentu izdevumi</t>
  </si>
  <si>
    <t>4000</t>
  </si>
  <si>
    <t>4100</t>
  </si>
  <si>
    <t>Procentu maksājumi ārvalstu un starptautiskajām finanšu institūcijām</t>
  </si>
  <si>
    <t>4110</t>
  </si>
  <si>
    <t>Procentu maksājumi ārvalstu un starptautiskajām finanšu institūcijām par aizņēmumiem un vērtspapīriem</t>
  </si>
  <si>
    <t>4130</t>
  </si>
  <si>
    <t>Procentu maksājumi ārvalstu un starptautiskajām finanšu institūcijām no atvasināto finanšu instrumentu lietošanas rezultāta</t>
  </si>
  <si>
    <t>4200</t>
  </si>
  <si>
    <t>Procentu maksājumi iekšzemes kredītiestādēm</t>
  </si>
  <si>
    <t>4230</t>
  </si>
  <si>
    <t>Procentu maksājumi iekšzemes kredītiestādēm no atvasināto finanšu instrumentu lietošanas rezultāta</t>
  </si>
  <si>
    <t>4240</t>
  </si>
  <si>
    <t>Procentu maksājumi iekšzemes finanšu institūcijām par aizņēmumiem un vērtspapīriem</t>
  </si>
  <si>
    <t>4250</t>
  </si>
  <si>
    <t>Budžeta iestāžu līzinga procentu maksājumi</t>
  </si>
  <si>
    <t>4300</t>
  </si>
  <si>
    <t>Pārējie procentu maksājumi</t>
  </si>
  <si>
    <t>4310</t>
  </si>
  <si>
    <t>Budžeta iestāžu procentu maksājumi Valsts kasei</t>
  </si>
  <si>
    <t>4311</t>
  </si>
  <si>
    <t>Budžeta iestāžu procentu maksājumi Valsts kasei, izņemot valsts sociālās apdrošināšanas speciālo budžetu</t>
  </si>
  <si>
    <t>4312</t>
  </si>
  <si>
    <t>Valsts sociālās apdrošināšanas speciālā budžeta procentu maksājumi Valsts kasei</t>
  </si>
  <si>
    <t>4330</t>
  </si>
  <si>
    <t>Valsts budžeta (Valsts kases) procentu maksājumi</t>
  </si>
  <si>
    <t>4331</t>
  </si>
  <si>
    <t>Valsts budžeta (Valsts kases) procentu maksājumi valsts speciālajam sociālās apdrošināšanas budžetam</t>
  </si>
  <si>
    <t>4332</t>
  </si>
  <si>
    <t>Valsts budžeta (Valsts kases) procentu maksājumi pārējiem valsts budžeta iestāžu līdzekļu ieguldītājiem</t>
  </si>
  <si>
    <t>4333</t>
  </si>
  <si>
    <t>Valsts budžeta (Valsts kases) procentu maksājumi par pašvaldību budžeta līdzekļu ieguldījumiem</t>
  </si>
  <si>
    <t>4334</t>
  </si>
  <si>
    <t>Valsts budžeta (Valsts kases) procentu maksājumi par depozītiem un kontu atlikumiem</t>
  </si>
  <si>
    <t>4339</t>
  </si>
  <si>
    <t>Valsts budžeta (Valsts kases) procentu maksājumi pārējiem ieguldītājiem</t>
  </si>
  <si>
    <t>4340</t>
  </si>
  <si>
    <t>Pašvaldību iestāžu procentu maksājumi par aizņēmumiem no pašvaldību budžeta</t>
  </si>
  <si>
    <t>Subsīdijas, dotācijas un sociālie pabalsti</t>
  </si>
  <si>
    <t>3000</t>
  </si>
  <si>
    <t>Subsīdijas un dotācijas</t>
  </si>
  <si>
    <t>3100</t>
  </si>
  <si>
    <t>Subsīdijas lauksaimniecības ražošanai</t>
  </si>
  <si>
    <t>3110</t>
  </si>
  <si>
    <t>Subsīdijas lauksaimniecībai saskaņā ar normatīvajiem aktiem par valsts atbalstu lauksaimniecībai kārtējā gadā</t>
  </si>
  <si>
    <t>3111</t>
  </si>
  <si>
    <t>Produktu subsīdijas lauksaimniecībai saskaņā ar normatīvajiem aktiem par valsts atbalstu lauksaimniecībai kārtējā gadā</t>
  </si>
  <si>
    <t>3112</t>
  </si>
  <si>
    <t>Citas ražošanas subsīdijas lauksaimniecībai saskaņā ar normatīvajiem aktiem par valsts atbalstu lauksaimniecībai kārtējā gadā</t>
  </si>
  <si>
    <t>3150</t>
  </si>
  <si>
    <t>Subsīdijas lauksaimniecības tirgus intervencei</t>
  </si>
  <si>
    <t>3190</t>
  </si>
  <si>
    <t>Pārējās subsīdijas lauksaimniecībai, kuras nevar attiecināt uz kodiem 3110 un 3150</t>
  </si>
  <si>
    <t>3191</t>
  </si>
  <si>
    <t>Pārējās produktu subsīdijas lauksaimniecībai</t>
  </si>
  <si>
    <t>3192</t>
  </si>
  <si>
    <t>Pārējās ražošanas subsīdijas lauksaimniecībai</t>
  </si>
  <si>
    <t>3200</t>
  </si>
  <si>
    <t>Subsīdijas un dotācijas komersantiem, biedrībām un nodibinājumiem</t>
  </si>
  <si>
    <t>3210</t>
  </si>
  <si>
    <t>Subsīdijas valsts un pašvaldību komersantiem, kuras nav attiecināmas uz kodu 3290</t>
  </si>
  <si>
    <t>3211</t>
  </si>
  <si>
    <t>Produktu subsīdijas valsts un pašvaldību komersantiem</t>
  </si>
  <si>
    <t>3212</t>
  </si>
  <si>
    <t>Citas ražošanas subsīdijas valsts un pašvaldību komersantiem</t>
  </si>
  <si>
    <t>3230</t>
  </si>
  <si>
    <t>Subsīdijas biedrībām un nodibinājumiem</t>
  </si>
  <si>
    <t>3231</t>
  </si>
  <si>
    <t>Produktu subsīdijas biedrībām un nodibinājumiem</t>
  </si>
  <si>
    <t>3232</t>
  </si>
  <si>
    <t>Citas ražošanas subsīdijas biedrībām un nodibinājumiem</t>
  </si>
  <si>
    <t>3260</t>
  </si>
  <si>
    <t>Valsts un pašvaldību budžeta dotācija komersantiem, biedrībām, nodibinājumiem un fiziskām personām</t>
  </si>
  <si>
    <t>3261</t>
  </si>
  <si>
    <t>Valsts un pašvaldību budžeta dotācija valsts un pašvaldību komersantiem</t>
  </si>
  <si>
    <t>3262</t>
  </si>
  <si>
    <t>Valsts un pašvaldību budžeta dotācija komersantiem, ostām un speciālajām ekonomiskajām zonām</t>
  </si>
  <si>
    <t>3263</t>
  </si>
  <si>
    <t>Valsts un pašvaldību budžeta dotācija biedrībām un nodibinājumiem</t>
  </si>
  <si>
    <t>3264</t>
  </si>
  <si>
    <t>Valsts kultūrkapitāla fonda pārskaitījumi fiziskām personām kultūras projektu īstenošanai</t>
  </si>
  <si>
    <t>3280</t>
  </si>
  <si>
    <t>Subsīdijas komersantiem</t>
  </si>
  <si>
    <t>3281</t>
  </si>
  <si>
    <t>Produktu subsīdijas komersantiem</t>
  </si>
  <si>
    <t>3282</t>
  </si>
  <si>
    <t>Citas ražošanas subsīdijas komersantiem</t>
  </si>
  <si>
    <t>3290</t>
  </si>
  <si>
    <t>Subsīdijas un dotācijas komersantiem, biedrībām un nodibinājumiem, ostām un speciālajām ekonomiskajām zonām Eiropas Savienības politiku instrumentu un pārējās ārvalstu finanšu palīdzības līdzfinansēto projektu un (vai) pasākumu ietvaros</t>
  </si>
  <si>
    <t>3291</t>
  </si>
  <si>
    <t>Subsīdijas un dotācijas biedrībām un nodibinājumiem Eiropas Savienības politiku instrumentu un pārējās ārvalstu finanšu palīdzības līdzfinansētajiem projektiem (pasākumiem)</t>
  </si>
  <si>
    <t>3292</t>
  </si>
  <si>
    <t>Subsīdijas un dotācijas komersantiem, ostām un speciālajām ekonomiskajām zonām Eiropas Savienības politiku instrumentu un pārējās ārvalstu finanšu palīdzības līdzfinansētajiem projektiem (pasākumiem)</t>
  </si>
  <si>
    <t>3293</t>
  </si>
  <si>
    <t>Atmaksa komersantiem, ostām un speciālajām ekonomiskajām zonām par Eiropas Savienības politiku instrumentu un pārējās ārvalstu finanšu palīdzības projektu (pasākumu) īstenošanu</t>
  </si>
  <si>
    <t>3294</t>
  </si>
  <si>
    <t>Atmaksa biedrībām un nodibinājumiem par Eiropas Savienības politiku instrumentu un pārējās ārvalstu finanšu palīdzības projektu (pasākumu) īstenošanu</t>
  </si>
  <si>
    <t>3295</t>
  </si>
  <si>
    <t>Atmaksa valsts pamatbudžetā no valsts budžeta iestāžu līdzekļiem par valsts budžeta finansētajiem izdevumiem</t>
  </si>
  <si>
    <t>3300</t>
  </si>
  <si>
    <t>Subsīdijas komersantiem sabiedriskā transporta pakalpojumu nodrošināšanai (par pasažieru regulārajiem pārvadājumiem)</t>
  </si>
  <si>
    <t>3310</t>
  </si>
  <si>
    <t>Produktu subsīdijas komersantiem sabiedriskā transporta pakalpojumu nodrošināšanai (par pasažieru regulārajiem pārvadājumiem)</t>
  </si>
  <si>
    <t>3320</t>
  </si>
  <si>
    <t>Citas ražošanas subsīdijas komersantiem sabiedriskā transporta pakalpojumu nodrošināšanai (par pasažieru regulārajiem pārvadājumiem)</t>
  </si>
  <si>
    <t>3500</t>
  </si>
  <si>
    <t>Konkursa kārtībā un sadarbības līgumiem un programmām sadalāmie valsts budžeta līdzekļi, kurus valsts budžeta likumā kārtējam gadam objektīvu iemeslu dēļ nav bijis iespējams ieplānot sadalījumā pa ekonomiskajām kategorijām</t>
  </si>
  <si>
    <t>3800</t>
  </si>
  <si>
    <t>Gadskārtējā valsts budžeta likuma izpildes laikā pārdalāmās budžeta apropriācijas</t>
  </si>
  <si>
    <t>6000</t>
  </si>
  <si>
    <t>Sociālie pabalsti</t>
  </si>
  <si>
    <t>6200</t>
  </si>
  <si>
    <t>Pensijas un sociālie pabalsti naudā</t>
  </si>
  <si>
    <t>6210</t>
  </si>
  <si>
    <t>Valsts pensijas</t>
  </si>
  <si>
    <t>6211</t>
  </si>
  <si>
    <t>Vecuma pensijas</t>
  </si>
  <si>
    <t>6212</t>
  </si>
  <si>
    <t>Invaliditātes pensijas</t>
  </si>
  <si>
    <t>6213</t>
  </si>
  <si>
    <t>Pensijas apgādnieka zaudējuma gadījumā</t>
  </si>
  <si>
    <t>6214</t>
  </si>
  <si>
    <t>Augstākās padomes deputātu pensijas</t>
  </si>
  <si>
    <t>6215</t>
  </si>
  <si>
    <t>Pensijas saskaņā ar speciāliem lēmumiem</t>
  </si>
  <si>
    <t>6216</t>
  </si>
  <si>
    <t>Izdienas pensijas</t>
  </si>
  <si>
    <t>6220</t>
  </si>
  <si>
    <t>Valsts sociālās apdrošināšanas pabalsti naudā</t>
  </si>
  <si>
    <t>6221</t>
  </si>
  <si>
    <t>Slimības pabalsts</t>
  </si>
  <si>
    <t>6222</t>
  </si>
  <si>
    <t>Maternitātes pabalsts</t>
  </si>
  <si>
    <t>6223</t>
  </si>
  <si>
    <t>Atlīdzība par darbspēju zaudējumu</t>
  </si>
  <si>
    <t>6224</t>
  </si>
  <si>
    <t>Atlīdzība par apgādnieka zaudējumu</t>
  </si>
  <si>
    <t>6225</t>
  </si>
  <si>
    <t>Apbedīšanas pabalsts</t>
  </si>
  <si>
    <t>6226</t>
  </si>
  <si>
    <t>Kaitējuma atlīdzība Černobiļas AES avārijas rezultātā cietušajām personām</t>
  </si>
  <si>
    <t>6227</t>
  </si>
  <si>
    <t>Paternitātes pabalsts</t>
  </si>
  <si>
    <t>6228</t>
  </si>
  <si>
    <t>Darbā nodarītā kaitējuma atlīdzība</t>
  </si>
  <si>
    <t>6229</t>
  </si>
  <si>
    <t>Pārējie pabalsti</t>
  </si>
  <si>
    <t>6230</t>
  </si>
  <si>
    <t>Valsts sociālie pabalsti  naudā</t>
  </si>
  <si>
    <t>6231</t>
  </si>
  <si>
    <t>Bērna kopšanas pabalsts</t>
  </si>
  <si>
    <t>6232</t>
  </si>
  <si>
    <t>Ģimenes valsts pabalsts</t>
  </si>
  <si>
    <t>6233</t>
  </si>
  <si>
    <t>Piemaksas pie ģimenes valsts pabalsta par bērnu invalīdu</t>
  </si>
  <si>
    <t>6234</t>
  </si>
  <si>
    <t>Bērna piedzimšanas pabalsts</t>
  </si>
  <si>
    <t>6235</t>
  </si>
  <si>
    <t>Valsts sociālā nodrošinājuma pabalsts</t>
  </si>
  <si>
    <t>6237</t>
  </si>
  <si>
    <t>Pabalsts un atlīdzība aizbildnim un audžuģimenei</t>
  </si>
  <si>
    <t>6238</t>
  </si>
  <si>
    <t>Pabalsts invalīdam, kuram nepieciešama īpaša kopšana</t>
  </si>
  <si>
    <t>6239</t>
  </si>
  <si>
    <t>Pārējie valsts pabalsti un kompensācijas</t>
  </si>
  <si>
    <t>6240</t>
  </si>
  <si>
    <t>Valsts un pašvaldību nodarbinātības pabalsti naudā</t>
  </si>
  <si>
    <t>6241</t>
  </si>
  <si>
    <t>Bezdarbnieka pabalsts</t>
  </si>
  <si>
    <t>6242</t>
  </si>
  <si>
    <t>Bezdarbnieka stipendija</t>
  </si>
  <si>
    <t>6250</t>
  </si>
  <si>
    <t>Pašvaldību sociālā palīdzība iedzīvotājiem naudā</t>
  </si>
  <si>
    <t>6252</t>
  </si>
  <si>
    <t>Pabalsti veselības aprūpei naudā</t>
  </si>
  <si>
    <t>6253</t>
  </si>
  <si>
    <t>Pabalsti ēdināšanai naudā</t>
  </si>
  <si>
    <t>6254</t>
  </si>
  <si>
    <t>Pašvaldību vienreizējie pabalsti naudā ārkārtas situācijā</t>
  </si>
  <si>
    <t>6255</t>
  </si>
  <si>
    <t>Sociālās garantijas bāreņiem un audžuģimenēm naudā</t>
  </si>
  <si>
    <t>6259</t>
  </si>
  <si>
    <t>Pārējā sociālā palīdzība naudā</t>
  </si>
  <si>
    <t>6260</t>
  </si>
  <si>
    <t>Pabalsts garantētā minimālā ienākumu līmeņa nodrošināšanai naudā</t>
  </si>
  <si>
    <t>6270</t>
  </si>
  <si>
    <t>Dzīvokļa pabalsts naudā</t>
  </si>
  <si>
    <t>6290</t>
  </si>
  <si>
    <t>Valsts un pašvaldību budžeta maksājumi</t>
  </si>
  <si>
    <t>6291</t>
  </si>
  <si>
    <t>Stipendijas</t>
  </si>
  <si>
    <t>6292</t>
  </si>
  <si>
    <t>Transporta izdevumu kompensācijas</t>
  </si>
  <si>
    <t>6293</t>
  </si>
  <si>
    <t>Pārmaksāto sociālās apdrošināšanas iemaksu atmaksa</t>
  </si>
  <si>
    <t>6294</t>
  </si>
  <si>
    <t>Maksātnespējīgo darba devēju darbinieku prasījumi</t>
  </si>
  <si>
    <t>6295</t>
  </si>
  <si>
    <t>Eiropas Savienības pensiju shēmai pārskaitītais pensijas kapitāls</t>
  </si>
  <si>
    <t>6296</t>
  </si>
  <si>
    <t>Ilgstošas sociālās aprūpes un sociālās rehabilitācijas institūciju veiktie maksājumi klientiem personiskiem izdevumiem no normatīvajos aktos noteiktajiem klientu ienākumiem, kas izmaksāti no valsts budžeta līdzekļiem</t>
  </si>
  <si>
    <t>6299</t>
  </si>
  <si>
    <t>Pārējie klasifikācijā neminētie no valsts un pašvaldību budžeta veiktie maksājumi iedzīvotājiem naudā</t>
  </si>
  <si>
    <t>6300</t>
  </si>
  <si>
    <t>Sociālie pabalsti natūrā</t>
  </si>
  <si>
    <t>6320</t>
  </si>
  <si>
    <t>Pašvaldību sociālā palīdzība iedzīvotājiem natūrā</t>
  </si>
  <si>
    <t>6321</t>
  </si>
  <si>
    <t>Pabalsti veselības aprūpei natūrā</t>
  </si>
  <si>
    <t>6322</t>
  </si>
  <si>
    <t>Pabalsti ēdināšanai natūrā</t>
  </si>
  <si>
    <t>6323</t>
  </si>
  <si>
    <t>Pašvaldību vienreizējie pabalsti natūrā ārkārtas situācijā</t>
  </si>
  <si>
    <t>6324</t>
  </si>
  <si>
    <t>Sociālās garantijas bāreņiem un audžuģimenēm natūrā</t>
  </si>
  <si>
    <t>6329</t>
  </si>
  <si>
    <t>Pārējā sociālā palīdzība natūrā</t>
  </si>
  <si>
    <t>6330</t>
  </si>
  <si>
    <t>Atbalsta pasākumi un kompensācijas natūrā</t>
  </si>
  <si>
    <t>6340</t>
  </si>
  <si>
    <t>Darba devēja sociālie pabalsti natūrā</t>
  </si>
  <si>
    <t>6350</t>
  </si>
  <si>
    <t>Pabalsts garantētā minimālā ienākumu līmeņa nodrošināšanai natūrā</t>
  </si>
  <si>
    <t>6360</t>
  </si>
  <si>
    <t>Dzīvokļa pabalsts natūrā</t>
  </si>
  <si>
    <t>6400</t>
  </si>
  <si>
    <t>Pārējie klasifikācijā neminētie maksājumi iedzīvotājiem natūrā un kompensācijas</t>
  </si>
  <si>
    <t>6410</t>
  </si>
  <si>
    <t>Pašvaldības pirktie sociālie pakalpojumi iedzīvotājiem</t>
  </si>
  <si>
    <t>6411</t>
  </si>
  <si>
    <t>Samaksa par aprūpi mājās</t>
  </si>
  <si>
    <t>6412</t>
  </si>
  <si>
    <t>Samaksa par ilgstošas sociālās aprūpes un sociālās rehabilitācijas institūciju sniegtajiem pakalpojumiem</t>
  </si>
  <si>
    <t>6419</t>
  </si>
  <si>
    <t>Samaksa par pārējiem sociālajiem pakalpojumiem saskaņā ar pašvaldību saistošajiem noteikumiem</t>
  </si>
  <si>
    <t>6420</t>
  </si>
  <si>
    <t>Maksājumi iedzīvotājiem natūrā, naudas balvas, izdevumi pašvaldību brīvprātīgo iniciatīvu izpildei</t>
  </si>
  <si>
    <t>6421</t>
  </si>
  <si>
    <t>Maksājumi iedzīvotājiem natūrā</t>
  </si>
  <si>
    <t>6422</t>
  </si>
  <si>
    <t>Naudas balvas</t>
  </si>
  <si>
    <t>6423</t>
  </si>
  <si>
    <t>Izdevumi brīvprātīgo iniciatīvu izpildei</t>
  </si>
  <si>
    <t>6500</t>
  </si>
  <si>
    <t>Kompensācijas, kuras izmaksā personām, pamatojoties uz Latvijas tiesu, Eiropas Savienības Tiesas, Eiropas Cilvēktiesību tiesas nolēmumiem</t>
  </si>
  <si>
    <t>6510</t>
  </si>
  <si>
    <t>Kompensācijas, kuras izmaksā personām, pamatojoties uz Latvijas tiesu nolēmumiem</t>
  </si>
  <si>
    <t>6520</t>
  </si>
  <si>
    <t>Kompensācijas, kuras izmaksā personām, pamatojoties uz Eiropas Savienības Tiesas, Eiropas Cilvēktiesību tiesas nolēmumiem</t>
  </si>
  <si>
    <t>7000</t>
  </si>
  <si>
    <t>Uzturēšanas izdevumu transferti, pašu resursu maksājumi, starptautiskā sadarbība</t>
  </si>
  <si>
    <t>Kārtējie maksājumi Eiropas Savienības budžetā un starptautiskā sadarbība</t>
  </si>
  <si>
    <t>7600</t>
  </si>
  <si>
    <t>Kārtējie maksājumi Eiropas Savienības budžetā</t>
  </si>
  <si>
    <t>7610</t>
  </si>
  <si>
    <t>Tradicionālo pašu resursu iemaksa Eiropas Savienības budžetā</t>
  </si>
  <si>
    <t>7620</t>
  </si>
  <si>
    <t>Pārējās iemaksas Eiropas Savienības budžetā</t>
  </si>
  <si>
    <t>7621</t>
  </si>
  <si>
    <t>Pievienotās vērtības nodokļa resurss</t>
  </si>
  <si>
    <t>7622</t>
  </si>
  <si>
    <t>Nacionālā kopienākuma resurss un rezerves</t>
  </si>
  <si>
    <t>7623</t>
  </si>
  <si>
    <t>Soda procenti</t>
  </si>
  <si>
    <t>7624</t>
  </si>
  <si>
    <t>Apvienotās Karalistes korekcija un citām dalībvalstīm budžeta līdzsvarošanai piešķirtās atlaides</t>
  </si>
  <si>
    <t>7629</t>
  </si>
  <si>
    <t>Pārējās iepriekš neklasificētās iemaksas Eiropas Savienības budžetā</t>
  </si>
  <si>
    <t>7630</t>
  </si>
  <si>
    <t>Eiropas Komisijai atmaksājamie līdzekļi Eiropas Savienības politiku instrumentu finansēto programmu ietvaros</t>
  </si>
  <si>
    <t>7700</t>
  </si>
  <si>
    <t>Starptautiskā sadarbība</t>
  </si>
  <si>
    <t>7710</t>
  </si>
  <si>
    <t>Biedra naudas, dalības maksa un iemaksas starptautiskajās institūcijās</t>
  </si>
  <si>
    <t>7711</t>
  </si>
  <si>
    <t>Maksājumi Eiropas Savienības institūcijās</t>
  </si>
  <si>
    <t>7712</t>
  </si>
  <si>
    <t>Maksājumi citās starptautiskajās institūcijās</t>
  </si>
  <si>
    <t>7713</t>
  </si>
  <si>
    <t>Maksājumi NATO budžetā</t>
  </si>
  <si>
    <t>7720</t>
  </si>
  <si>
    <t>Pārējie pārskaitījumi ārvalstīm</t>
  </si>
  <si>
    <t>7730</t>
  </si>
  <si>
    <t>Starptautiskā palīdzība</t>
  </si>
  <si>
    <t>Uzturēšanas izdevumu transferti</t>
  </si>
  <si>
    <t>7100</t>
  </si>
  <si>
    <t>Valsts budžeta uzturēšanas izdevumu transferti</t>
  </si>
  <si>
    <t>7110</t>
  </si>
  <si>
    <t>Valsts budžeta uzturēšanas izdevumu transferti no valsts speciālā budžeta uz valsts pamatbudžetu</t>
  </si>
  <si>
    <t>7120</t>
  </si>
  <si>
    <t>Valsts budžeta uzturēšanas izdevumu transferti no valsts pamatbudžeta uz valsts speciālo budžetu</t>
  </si>
  <si>
    <t>7130</t>
  </si>
  <si>
    <t>Valsts budžeta uzturēšanas izdevumu transferti no valsts pamatbudžeta uz valsts pamatbudžetu</t>
  </si>
  <si>
    <t>7131</t>
  </si>
  <si>
    <t>Valsts budžeta uzturēšanas izdevumu transferti  no valsts pamatbudžeta dotācijas no vispārējiem ieņēmumiem uz valsts pamatbudžetu</t>
  </si>
  <si>
    <t>7132</t>
  </si>
  <si>
    <t>Valsts budžeta uzturēšanas izdevumu transferti  no valsts pamatbudžeta ārvalstu finanšu palīdzības līdzekļiem uz valsts pamatbudžetu</t>
  </si>
  <si>
    <t>7137</t>
  </si>
  <si>
    <t>Nenaudas (aktīvu nodošana un pasīvu uzņemšana bilancē) darījumu transferti no valsts pamatbudžeta uz valsts pamatbudžetu starp vienas institucionālās padotības valsts budžeta iestādēm</t>
  </si>
  <si>
    <t>7138</t>
  </si>
  <si>
    <t>Nenaudas (aktīvu nodošana un pasīvu uzņemšana bilancē) darījumu transferti no valsts pamatbudžeta uz valsts pamatbudžetu starp dažādas institucionālās padotības valsts budžeta iestādēm</t>
  </si>
  <si>
    <t>7139</t>
  </si>
  <si>
    <t>Pārējie valsts budžeta uzturēšanas izdevumu transferti no valsts pamatbudžeta uz valsts pamatbudžetu</t>
  </si>
  <si>
    <t>7140</t>
  </si>
  <si>
    <t>Valsts budžeta uzturēšanas izdevumu transferti no valsts speciālā budžeta uz valsts speciālo budžetu</t>
  </si>
  <si>
    <t>7200</t>
  </si>
  <si>
    <t>Pašvaldību uzturēšanas izdevumu transferti</t>
  </si>
  <si>
    <t>7210</t>
  </si>
  <si>
    <t>Pašvaldību uzturēšanas izdevumu transferti citām pašvaldībām</t>
  </si>
  <si>
    <t>7220</t>
  </si>
  <si>
    <t>Pašvaldību uzturēšanas izdevumu iekšējie transferti starp pašvaldības budžeta veidiem</t>
  </si>
  <si>
    <t>7221</t>
  </si>
  <si>
    <t>Pašvaldības pamatbudžeta uzturēšanas izdevumu transferts uz pašvaldības speciālo budžetu</t>
  </si>
  <si>
    <t>7222</t>
  </si>
  <si>
    <t>Pašvaldības speciālā budžeta uzturēšanas izdevumu transferts uz pašvaldības pamatbudžetu</t>
  </si>
  <si>
    <t>7230</t>
  </si>
  <si>
    <t>Pašvaldības un tās iestāžu savstarpējie uzturēšanas izdevumu transferti</t>
  </si>
  <si>
    <t>7240</t>
  </si>
  <si>
    <t>Pašvaldību uzturēšanas izdevumu transferti uz valsts budžetu</t>
  </si>
  <si>
    <t>7245</t>
  </si>
  <si>
    <t>Pašvaldību atmaksa valsts budžetam par iepriekšējos gados saņemto, bet neizlietoto valsts budžeta transfertu uzturēšanas izdevumiem</t>
  </si>
  <si>
    <t>7246</t>
  </si>
  <si>
    <t>Pašvaldību atmaksa valsts budžetam par iepriekšējos gados saņemtajiem valsts budžeta transfertiem uzturēšanas izdevumiem Eiropas Savienības politiku instrumentu un pārējās ārvalstu finanšu palīdzības līdzfinansētajos projektos (pasākumos)</t>
  </si>
  <si>
    <t>7247</t>
  </si>
  <si>
    <t>Pašvaldību uzturēšanas izdevumu transferti (izņemot atmaksas) uz valsts budžetu</t>
  </si>
  <si>
    <t>7260</t>
  </si>
  <si>
    <t>Pašvaldības iemaksa pašvaldību finanšu izlīdzināšanas fondā</t>
  </si>
  <si>
    <t>7270</t>
  </si>
  <si>
    <t>Pašvaldību uzturēšanas izdevumu transferti valsts budžeta daļēji finansētām atvasinātajām publiskajām personām, budžeta nefinansētām iestādēm</t>
  </si>
  <si>
    <t>7300</t>
  </si>
  <si>
    <t>Valsts budžeta uzturēšanas izdevumu transferti citiem budžetiem noteiktam mērķim</t>
  </si>
  <si>
    <t>7310</t>
  </si>
  <si>
    <t>Valsts budžeta uzturēšanas izdevumu transferti pašvaldībām noteiktam mērķim</t>
  </si>
  <si>
    <t>7320</t>
  </si>
  <si>
    <t>Valsts budžeta uzturēšanas izdevumu transferti pašvaldībām Eiropas Savienības politiku instrumentu un pārējās ārvalstu finanšu palīdzības līdzfinansētajiem projektiem (pasākumiem)</t>
  </si>
  <si>
    <t>7350</t>
  </si>
  <si>
    <t>Valsts budžeta transferti valsts budžeta daļēji finansētām atvasinātajām publiskajām personām un budžeta nefinansētām iestādēm noteiktam mērķim</t>
  </si>
  <si>
    <t>7351</t>
  </si>
  <si>
    <t>Valsts budžeta uzturēšanas izdevumu transferti noteiktam mērķim savas ministrijas vai centrālās valsts iestādes padotībā esošajām no valsts budžeta daļēji finansētām atvasinātajām publiskajām personām un budžeta nefinansētām iestādēm</t>
  </si>
  <si>
    <t>7352</t>
  </si>
  <si>
    <t>Valsts budžeta uzturēšanas izdevumu transferti noteiktam mērķim citas ministrijas, centrālās valsts iestādes padotībā esošajām no valsts budžeta daļēji finansētām atvasinātajām publiskajām personām un budžeta nefinansētām iestādēm</t>
  </si>
  <si>
    <t>7353</t>
  </si>
  <si>
    <t>Valsts budžeta uzturēšanas izdevumu transferti savas ministrijas, centrālās valsts iestādes padotībā esošajām no valsts budžeta daļēji finansētām atvasinātājām publiskajām personām un budžeta nefinansētām iestādēm Eiropas Savienības politiku instrumentu un pārējās ārvalstu finanšu palīdzības līdzfinansētajiem projektiem (pasākumiem)</t>
  </si>
  <si>
    <t>7354</t>
  </si>
  <si>
    <t>Valsts budžeta uzturēšanas izdevumu transferti citas ministrijas, centrālās valsts iestādes padotībā esošajām no valsts budžeta daļēji finansētām atvasinātājām publiskajām personām un budžeta nefinansētām iestādēm Eiropas Savienības politiku instrumentu un pārējās ārvalstu finanšu palīdzības līdzfinansētajiem projektiem (pasākumiem)</t>
  </si>
  <si>
    <t>7400</t>
  </si>
  <si>
    <t>Pārējie valsts budžeta uzturēšanas izdevumu transferti citiem budžetiem</t>
  </si>
  <si>
    <t>7460</t>
  </si>
  <si>
    <t>Pārējie valsts budžeta uzturēšanas izdevumu transferti pašvaldībām</t>
  </si>
  <si>
    <t>7470</t>
  </si>
  <si>
    <t>Pārējie valsts budžeta uzturēšanas izdevumu transferti valsts budžeta daļēji finansētām atvasinātajām publiskajām personām un budžeta nefinansētām iestādēm</t>
  </si>
  <si>
    <t>7471</t>
  </si>
  <si>
    <t>Pārējie valsts budžeta uzturēšanas izdevumu transferti savas ministrijas, centrālās valsts iestādes padotībā esošajām valsts budžeta daļēji finansētām atvasinātām publiskām personām un budžeta nefinansētām iestādēm</t>
  </si>
  <si>
    <t>7472</t>
  </si>
  <si>
    <t>Pārējie valsts budžeta uzturēšanas izdevumu transferti citas ministrijas, centrālās valsts iestādes padotībā esošajām valsts budžeta daļēji finansētām atvasinātajām publiskajām personām un budžeta nefinansētām iestādēm</t>
  </si>
  <si>
    <t>7500</t>
  </si>
  <si>
    <t>Atmaksa valsts budžetā par veiktajiem uzturēšanas izdevumiem</t>
  </si>
  <si>
    <t>7510</t>
  </si>
  <si>
    <t>Atmaksa valsts pamatbudžetā par valsts budžeta iestādes veiktajiem uzturēšanas izdevumiem Eiropas Savienības politiku instrumentu un pārējās ārvalstu finanšu palīdzības līdzfinansētajos projektos (pasākumos)</t>
  </si>
  <si>
    <t>7800</t>
  </si>
  <si>
    <t>No valsts budžeta daļēji finansētu atvasināto publisko personu un budžeta nefinansētu iestāžu uzturēšanas izdevumu transferti</t>
  </si>
  <si>
    <t>7810</t>
  </si>
  <si>
    <t>No valsts budžeta daļēji finansētu atvasināto publisko personu un budžeta nefinansētu iestāžu uzturēšanas izdevumu transferti uz valsts budžetu</t>
  </si>
  <si>
    <t>7811</t>
  </si>
  <si>
    <t>No valsts budžeta daļēji finansētu atvasināto publisko personu un budžeta nefinansētu iestāžu uzturēšanas izdevumu transferti uz valsts budžetu (ministrijai, centrālajai valsts iestādei, kuras padotībā tā atrodas)</t>
  </si>
  <si>
    <t>7812</t>
  </si>
  <si>
    <t>No valsts budžeta daļēji finansētu atvasināto publisko personu un budžeta nefinansētu iestāžu uzturēšanas izdevumu transferti uz valsts budžetu (citai ministrijai, centrālajai valsts iestādei)</t>
  </si>
  <si>
    <t>7813</t>
  </si>
  <si>
    <t>No valsts budžeta daļēji finansētu atvasināto publisko personu un budžeta nefinansētu iestāžu atmaksa valsts budžetam (ministrijai, centrālajai valsts iestādei, kuras padotībā tā atrodas) par iepriekšējos gados saņemtajiem valsts budžeta transfertiem uzturēšanas izdevumiem Eiropas Savienības politiku instrumentu un pārējās ārvalstu finanšu palīdzības līdzfinansētajos projektos (pasākumos)</t>
  </si>
  <si>
    <t>7814</t>
  </si>
  <si>
    <t>No valsts budžeta daļēji finansētu atvasināto publisko personu un budžeta nefinansētu iestāžu atmaksa valsts budžetam (citai ministrijai, centrālajai valsts iestādei) par iepriekšējos gados saņemtajiem valsts budžeta transfertiem uzturēšanas izdevumiem Eiropas Savienības politiku instrumentu un pārējās ārvalstu finanšu palīdzības līdzfinansētajos projektos (pasākumos)</t>
  </si>
  <si>
    <t>7820</t>
  </si>
  <si>
    <t>No valsts budžeta daļēji finansēto atvasināto publisko personu un budžeta nefinansēto iestāžu uzturēšanas izdevumu transferti pašvaldībām</t>
  </si>
  <si>
    <t>7830</t>
  </si>
  <si>
    <t>No valsts budžeta daļēji finansētu atvasināto publisko personu uzturēšanas izdevumu transferti uz to izveidotām iestādēm</t>
  </si>
  <si>
    <t>7840</t>
  </si>
  <si>
    <t>No valsts budžeta daļēji finansētu atvasināto publisko personu un budžeta nefinansētu iestāžu savstarpējie uzturēšanas izdevumu transferti</t>
  </si>
  <si>
    <t>7841</t>
  </si>
  <si>
    <t>No valsts budžeta daļēji finansētu atvasināto publisko personu un budžeta nefinansētu iestāžu uzturēšanas izdevumu transferti uz savas ministrijas, centrālās valsts iestādes padotībā esošajām no valsts budžeta daļēji finansētām atvasinātajām publiskajām personām un budžeta nefinansētām iestādēm</t>
  </si>
  <si>
    <t>7842</t>
  </si>
  <si>
    <t>No valsts budžeta daļēji finansētu atvasināto publisko personu un budžeta nefinansētu iestāžu uzturēšanas izdevumu transferti uz citas ministrijas, centrālās valsts iestādes padotībā esošajām no valsts budžeta daļēji finansētām atvasinātajām publiskajām personām un budžeta nefinansētām iestādēm</t>
  </si>
  <si>
    <t>2.0.</t>
  </si>
  <si>
    <t>Kapitālie izdevumi</t>
  </si>
  <si>
    <t>Pamatkapitāla veidošana</t>
  </si>
  <si>
    <t>5000</t>
  </si>
  <si>
    <t>5100</t>
  </si>
  <si>
    <t>Nemateriālie ieguldījumi</t>
  </si>
  <si>
    <t>5110</t>
  </si>
  <si>
    <t>Attīstības pasākumi un programmas</t>
  </si>
  <si>
    <t>5120</t>
  </si>
  <si>
    <t>Licences, koncesijas un patenti, preču zīmes un līdzīgas tiesības</t>
  </si>
  <si>
    <t>5121</t>
  </si>
  <si>
    <t>Datorprogrammas</t>
  </si>
  <si>
    <t>5129</t>
  </si>
  <si>
    <t>Pārējās licences, koncesijas un patenti, preču zīmes un tamlīdzīgas tiesības</t>
  </si>
  <si>
    <t>5130</t>
  </si>
  <si>
    <t>Pārējie nemateriālie ieguldījumi</t>
  </si>
  <si>
    <t>5140</t>
  </si>
  <si>
    <t>Nemateriālo ieguldījumu izveidošana</t>
  </si>
  <si>
    <t>5160</t>
  </si>
  <si>
    <t>Derīgo izrakteņu izpēte un citi līdzīgi neražotie nemateriālie ieguldījumi</t>
  </si>
  <si>
    <t>5170</t>
  </si>
  <si>
    <t>Kapitālsabiedrību iegādes rezultātā iegūtā nemateriālā vērtība</t>
  </si>
  <si>
    <t>5200</t>
  </si>
  <si>
    <t>Pamatlīdzekļi</t>
  </si>
  <si>
    <t>5210</t>
  </si>
  <si>
    <t>Zeme, ēkas un būves</t>
  </si>
  <si>
    <t>5211</t>
  </si>
  <si>
    <t>Dzīvojamās ēkas</t>
  </si>
  <si>
    <t>5212</t>
  </si>
  <si>
    <t>Nedzīvojamās ēkas</t>
  </si>
  <si>
    <t>5213</t>
  </si>
  <si>
    <t>Transporta būves</t>
  </si>
  <si>
    <t>5214</t>
  </si>
  <si>
    <t>Zeme zem ēkām un būvēm</t>
  </si>
  <si>
    <t>5215</t>
  </si>
  <si>
    <t>Kultivētā zeme</t>
  </si>
  <si>
    <t>5216</t>
  </si>
  <si>
    <t>Atpūtai un izklaidei izmantojamā zeme</t>
  </si>
  <si>
    <t>5217</t>
  </si>
  <si>
    <t>Pārējā zeme</t>
  </si>
  <si>
    <t>5218</t>
  </si>
  <si>
    <t>Celtnes un būves</t>
  </si>
  <si>
    <t>5219</t>
  </si>
  <si>
    <t>Pārējais nekustamais īpašums</t>
  </si>
  <si>
    <t>5220</t>
  </si>
  <si>
    <t>Tehnoloģiskās iekārtas un mašīnas</t>
  </si>
  <si>
    <t>5230</t>
  </si>
  <si>
    <t>Pārējie pamatlīdzekļi</t>
  </si>
  <si>
    <t>5231</t>
  </si>
  <si>
    <t>Transportlīdzekļi</t>
  </si>
  <si>
    <t>5232</t>
  </si>
  <si>
    <t>Saimniecības pamatlīdzekļi</t>
  </si>
  <si>
    <t>5233</t>
  </si>
  <si>
    <t>Bibliotēku krājumi</t>
  </si>
  <si>
    <t>5234</t>
  </si>
  <si>
    <t>Izklaides, literārie un mākslas oriģināldarbi</t>
  </si>
  <si>
    <t>5235</t>
  </si>
  <si>
    <t>Dārgakmeņi un dārgmetāli</t>
  </si>
  <si>
    <t>5236</t>
  </si>
  <si>
    <t>Antīkie un citi mākslas priekšmeti</t>
  </si>
  <si>
    <t>5237</t>
  </si>
  <si>
    <t>Citas vērtslietas</t>
  </si>
  <si>
    <t>5238</t>
  </si>
  <si>
    <t>Datortehnika, sakaru un cita biroja tehnika</t>
  </si>
  <si>
    <t>5239</t>
  </si>
  <si>
    <t>Pārējie iepriekš neklasificētie pamatlīdzekļi</t>
  </si>
  <si>
    <t>5240</t>
  </si>
  <si>
    <t>Pamatlīdzekļu izveidošana un nepabeigtā būvniecība</t>
  </si>
  <si>
    <t>5250</t>
  </si>
  <si>
    <t>Kapitālais remonts un rekonstrukcija</t>
  </si>
  <si>
    <t>5260</t>
  </si>
  <si>
    <t>Bioloģiskie un pazemes aktīvi</t>
  </si>
  <si>
    <t>5261</t>
  </si>
  <si>
    <t>Pazemes aktīvi</t>
  </si>
  <si>
    <t>5262</t>
  </si>
  <si>
    <t>Augļu dārzi un citi regulāri ražojošie stādījumi</t>
  </si>
  <si>
    <t>5269</t>
  </si>
  <si>
    <t>Pārējie bioloģiskie un lauksaimniecības aktīvi</t>
  </si>
  <si>
    <t>5270</t>
  </si>
  <si>
    <t>Ilgtermiņa ieguldījumi nomātajos pamatlīdzekļos</t>
  </si>
  <si>
    <t>Kapitālo izdevumu transferti</t>
  </si>
  <si>
    <t>9000</t>
  </si>
  <si>
    <t>9100</t>
  </si>
  <si>
    <t>Valsts budžeta kapitālo izdevumu transferti</t>
  </si>
  <si>
    <t>9110</t>
  </si>
  <si>
    <t>Valsts budžeta kapitālo izdevumu transferti no valsts speciālā budžeta uz valsts pamatbudžetu</t>
  </si>
  <si>
    <t>9120</t>
  </si>
  <si>
    <t>Valsts budžeta kapitālo izdevumu transferti no valsts pamatbudžeta uz valsts speciālo budžetu</t>
  </si>
  <si>
    <t>9140</t>
  </si>
  <si>
    <t>Valsts budžeta kapitālo izdevumu transferti no valsts pamatbudžeta uz valsts pamatbudžetu</t>
  </si>
  <si>
    <t>9141</t>
  </si>
  <si>
    <t>Valsts budžeta kapitālo izdevumu transferti no valsts pamatbudžeta dotācijas no vispārējiem ieņēmumiem uz valsts pamatbudžetu</t>
  </si>
  <si>
    <t>9142</t>
  </si>
  <si>
    <t>Valsts budžeta kapitālo izdevumu transferti no valsts pamatbudžeta ārvalstu finanšu palīdzības līdzekļiem uz valsts pamatbudžetu</t>
  </si>
  <si>
    <t>9147</t>
  </si>
  <si>
    <t>Nenaudas (aktīvu nodošana un pasīvu uzņemšana bilancē) darījumu izdevumu transferti no valsts pamatbudžeta uz valsts pamatbudžetu starp vienas institucionālās padotības valsts budžeta iestādēm</t>
  </si>
  <si>
    <t>9148</t>
  </si>
  <si>
    <t>Nenaudas (aktīvu nodošana un pasīvu uzņemšana bilancē) darījumu izdevumu transferti no valsts pamatbudžeta uz valsts pamatbudžetu starp dažādas institucionālās padotības valsts budžeta iestādēm</t>
  </si>
  <si>
    <t>9149</t>
  </si>
  <si>
    <t>Pārējie valsts budžeta kapitālo izdevumu transferti no valsts pamatbudžeta uz valsts pamatbudžetu</t>
  </si>
  <si>
    <t>9150</t>
  </si>
  <si>
    <t>Valsts budžeta kapitālo izdevumu transferti no valsts speciālā budžeta uz valsts speciālo budžetu</t>
  </si>
  <si>
    <t>9200</t>
  </si>
  <si>
    <t>Pašvaldību kapitālo izdevumu transferti</t>
  </si>
  <si>
    <t>9230</t>
  </si>
  <si>
    <t>Pašvaldību kapitālo izdevumu transferti citām pašvaldībām</t>
  </si>
  <si>
    <t>9240</t>
  </si>
  <si>
    <t>Pašvaldību kapitālo izdevumu transferti starp pašvaldības budžeta veidiem</t>
  </si>
  <si>
    <t>9241</t>
  </si>
  <si>
    <t>Pašvaldību pamatbudžeta kapitālo izdevumu transferti uz pašvaldības speciālo budžetu</t>
  </si>
  <si>
    <t>9242</t>
  </si>
  <si>
    <t>Pašvaldību speciālā budžeta kapitālo izdevumu transferti uz pašvaldības pamatbudžetu</t>
  </si>
  <si>
    <t>9250</t>
  </si>
  <si>
    <t>Pašvaldības un tās iestāžu savstarpējie kapitālo izdevumu transferti</t>
  </si>
  <si>
    <t>9260</t>
  </si>
  <si>
    <t>Pašvaldību kapitālo izdevumu transferti uz valsts budžetu</t>
  </si>
  <si>
    <t>9261</t>
  </si>
  <si>
    <t>Pašvaldību kapitālo izdevumu transferti (izņemot atmaksas) uz valsts budžetu</t>
  </si>
  <si>
    <t>9262</t>
  </si>
  <si>
    <t>Pašvaldību atmaksa valsts budžetam par iepriekšējos gados saņemto, bet neizlietoto valsts budžeta kapitālo izdevumu transfertiem</t>
  </si>
  <si>
    <t>9263</t>
  </si>
  <si>
    <t>Pašvaldību atmaksa valsts budžetam par iepriekšējos gados saņemtajiem valsts budžeta transfertiem kapitālajiem izdevumiem Eiropas Savienības politiku instrumentu un pārējās ārvalstu finanšu palīdzības līdzfinansētajos projektos (pasākumos)</t>
  </si>
  <si>
    <t>9270</t>
  </si>
  <si>
    <t>Pašvaldību kapitālo izdevumu transferti valsts budžeta daļēji finansētām atvasinātām publiskām personām un budžeta nefinansētām iestādēm</t>
  </si>
  <si>
    <t>9500</t>
  </si>
  <si>
    <t>Valsts budžeta transferti kapitālajiem izdevumiem citiem budžetiem noteiktam mērķim</t>
  </si>
  <si>
    <t>9510</t>
  </si>
  <si>
    <t>Valsts budžeta kapitālo izdevumu transferti pašvaldībām noteiktam mērķim</t>
  </si>
  <si>
    <t>9580</t>
  </si>
  <si>
    <t>Valsts budžeta kapitālo izdevumu transferti pašvaldībām Eiropas Savienības politiku instrumentu un pārējās ārvalstu finanšu palīdzības līdzfinansētajiem projektiem (pasākumiem)</t>
  </si>
  <si>
    <t>9590</t>
  </si>
  <si>
    <t>Valsts budžeta kapitālo izdevumu transferti valsts budžeta daļēji finansētām atvasinātajām publiskajām personām un budžeta nefinansētām iestādēm noteiktam mērķim</t>
  </si>
  <si>
    <t>9591</t>
  </si>
  <si>
    <t>Valsts budžeta kapitālo izdevumu transferti noteiktam mērķim savas ministrijas, centrālās valsts iestādes padotībā esošajām no valsts budžeta daļēji finansētām atvasinātajām publiskajām personām un budžeta nefinansētām iestādēm</t>
  </si>
  <si>
    <t>9592</t>
  </si>
  <si>
    <t>Valsts budžeta kapitālo izdevumu transferti noteiktam mērķim citas ministrijas, centrālās valsts iestādes padotībā esošajām no valsts budžeta daļēji finansētām atvasinātajām publiskajām personām un budžeta nefinansētām iestādēm</t>
  </si>
  <si>
    <t>9593</t>
  </si>
  <si>
    <t xml:space="preserve">Valsts budžeta kapitālo izdevumu transferti savas ministrijas, centrālās valsts iestādes padotībā esošajām no valsts budžeta daļēji finansētām atvasinātajām publiskajām personām un budžeta nefinansētām iestādēm Eiropas Savienības politiku instrumentu un pārējās ārvalstu finanšu palīdzības līdzfinansētajiem projektiem (pasākumiem) </t>
  </si>
  <si>
    <t>9594</t>
  </si>
  <si>
    <t xml:space="preserve">Valsts budžeta kapitālo izdevumu transferti citas ministrijas, centrālās valsts iestādes padotībā esošajām no valsts budžeta daļēji finansētām atvasinātajām publiskajām personām un budžeta nefinansētām iestādēm Eiropas Savienības politiku instrumentu un pārējās ārvalstu finanšu palīdzības līdzfinansētajiem projektiem (pasākumiem) </t>
  </si>
  <si>
    <t>9600</t>
  </si>
  <si>
    <t>Atmaksa valsts budžetā par veiktajiem kapitālajiem izdevumiem</t>
  </si>
  <si>
    <t>9610</t>
  </si>
  <si>
    <t>Atmaksa valsts pamatbudžetā par valsts budžeta iestādes veiktajiem kapitālajiem izdevumiem Eiropas Savienības politiku instrumentu un pārējās ārvalstu finanšu palīdzības līdzfinansētajos projektos (pasākumos)</t>
  </si>
  <si>
    <t>9700</t>
  </si>
  <si>
    <t>Pārējie valsts budžeta kapitālo izdevumu transferti citiem budžetiem</t>
  </si>
  <si>
    <t>9710</t>
  </si>
  <si>
    <t>Pārējie valsts budžeta kapitālo izdevumu transferti pašvaldībām</t>
  </si>
  <si>
    <t>9720</t>
  </si>
  <si>
    <t>Pārējie valsts budžeta transferti kapitālajiem izdevumiem valsts budžeta daļēji finansētām atvasinātajām publiskajām personām un budžeta nefinansētām iestādēm</t>
  </si>
  <si>
    <t>9721</t>
  </si>
  <si>
    <t>Pārējie valsts budžeta transferti kapitālajiem izdevumiem savas ministrijas, centrālās valsts iestādes padotībā esošajām valsts budžeta daļēji finansētām atvasinātajām publiskajām personām un budžeta nefinansētām iestādēm</t>
  </si>
  <si>
    <t>9722</t>
  </si>
  <si>
    <t>Pārējie valsts budžeta transferti kapitālajiem izdevumiem citas ministrijas, centrālās valsts iestādes padotībā esošajām valsts budžeta daļēji finansētām atvasinātajām publiskajām personām un budžeta nefinansētām iestādēm</t>
  </si>
  <si>
    <t>9800</t>
  </si>
  <si>
    <t>No valsts budžeta daļēji finansētu atvasināto publisko personu un budžeta nefinansētu iestāžu kapitālo izdevumu transferti</t>
  </si>
  <si>
    <t>9810</t>
  </si>
  <si>
    <t>No valsts budžeta daļēji finansētu atvasināto publisko personu un budžeta nefinansētu iestāžu kapitālo izdevumu transferti uz valsts budžetu</t>
  </si>
  <si>
    <t>9811</t>
  </si>
  <si>
    <t>No valsts budžeta daļēji finansētu atvasināto publisko personu un budžeta nefinansētu iestāžu kapitālo izdevumu transferti uz valsts budžetu (ministrijai, centrālajai valsts iestādei, kuras padotībā tā atrodas)</t>
  </si>
  <si>
    <t>9812</t>
  </si>
  <si>
    <t>No valsts budžeta daļēji finansētu atvasināto publisko personu un budžeta nefinansētu iestāžu kapitālo izdevumu transferti uz valsts budžetu (citai ministrijai, centrālajai valsts iestādei)</t>
  </si>
  <si>
    <t>9813</t>
  </si>
  <si>
    <t>No valsts budžeta daļēji finansētu atvasināto publisko personu un budžeta nefinansētu iestāžu atmaksa valsts budžetam (ministrijai, centrālajai valsts iestādei, kuras padotībā tā atrodas) par iepriekšējos gados saņemtajiem valsts budžeta transfertiem kapitālajiem izdevumiem Eiropas Savienības politiku instrumentu un pārējās ārvalstu finanšu palīdzības līdzfinansētajos projektos (pasākumos)</t>
  </si>
  <si>
    <t>9814</t>
  </si>
  <si>
    <t>No valsts budžeta daļēji finansētu atvasināto publisko personu un budžeta nefinansētu iestāžu atmaksa valsts budžetam (citai ministrijai, centrālajai valsts iestādei) par iepriekšējos gados saņemtajiem valsts budžeta transfertiem kapitālajiem izdevumiem Eiropas Savienības politiku instrumentu un pārējās ārvalstu finanšu palīdzības līdzfinansētajos projektos (pasākumos)</t>
  </si>
  <si>
    <t>9820</t>
  </si>
  <si>
    <t>No valsts budžeta daļēji finansētu atvasināto publisko personu un budžeta nefinansētu iestāžu kapitālo izdevumu transferti pašvaldībām</t>
  </si>
  <si>
    <t>9830</t>
  </si>
  <si>
    <t>No valsts budžeta daļēji finansētu atvasināto publisko personu kapitālo izdevumu transferti to izveidotām iestādēm</t>
  </si>
  <si>
    <t>9840</t>
  </si>
  <si>
    <t>No valsts budžeta daļēji finansētu atvasināto publisko personu un budžeta nefinansētu iestāžu savstarpējie kapitālo izdevumu transferti</t>
  </si>
  <si>
    <t>9841</t>
  </si>
  <si>
    <t>No valsts budžeta daļēji finansētu atvasināto publisko personu un budžeta nefinansētu iestāžu kapitālo izdevumu transferti uz savas ministrijas, centrālās valsts iestādes padotībā esošajām no valsts budžeta daļēji finansētām atvasinātajām publiskajām personām un budžeta nefinansētām iestādēm</t>
  </si>
  <si>
    <t>9842</t>
  </si>
  <si>
    <t>No valsts budžeta daļēji finansētu atvasināto publisko personu un budžeta nefinansētu iestāžu kapitālo izdevumu transferti uz citas ministrijas, centrālās valsts iestādes padotībā esošajām no valsts budžeta daļēji finansētām atvasinātajām publiskajām personām un budžeta nefinansētām iestādēm</t>
  </si>
  <si>
    <t>3.0.</t>
  </si>
  <si>
    <t>Pārējie izdevumi, kas veidojas pēc uzkrāšanas principa un nav klasificēti iepriekš</t>
  </si>
  <si>
    <t>5300</t>
  </si>
  <si>
    <t>Izdevumi par kapitāla daļu pārdošanu un pārvērtēšanu, vērtspapīru tirdzniecību un pārvērtēšanu un kapitāla daļu iegādi</t>
  </si>
  <si>
    <t>5310</t>
  </si>
  <si>
    <t>Izdevumi par kapitāla daļu pārdošanu un vērtspapīru tirdzniecību</t>
  </si>
  <si>
    <t>5311</t>
  </si>
  <si>
    <t>Izdevumi par kapitāla daļu pārdošanu</t>
  </si>
  <si>
    <t>5312</t>
  </si>
  <si>
    <t>Izdevumi par vērtspapīru tirdzniecību</t>
  </si>
  <si>
    <t>5320</t>
  </si>
  <si>
    <t>Izdevumi par kapitāla daļu un vērtspapīru pārvērtēšanu un izdevumi par ieguldījumu radniecīgajās un asociētajās kapitālsabiedrībās pārvērtēšanu</t>
  </si>
  <si>
    <t>5321</t>
  </si>
  <si>
    <t>Izdevumi par kapitāla daļu un par ieguldījumu radniecīgajās un asociētajās kapitālsabiedrībās pārvērtēšanu</t>
  </si>
  <si>
    <t>5322</t>
  </si>
  <si>
    <t>Izdevumi par vērtspapīru pārvērtēšanu</t>
  </si>
  <si>
    <t>5323</t>
  </si>
  <si>
    <t>Izdevumi no mantiskā ieguldījuma kapitālsabiedrībā samazināšanas</t>
  </si>
  <si>
    <t>8000</t>
  </si>
  <si>
    <t>Dažādi izdevumi, kas veidojas pēc uzkrāšanas principa un nav klasificēti iepriekš</t>
  </si>
  <si>
    <t>8100</t>
  </si>
  <si>
    <t>Zaudējumi no valūtas kursa svārstībām</t>
  </si>
  <si>
    <t>8600</t>
  </si>
  <si>
    <t>Izdevumi debitoru parādu norakstīšanai un uzkrājumu veidošanai</t>
  </si>
  <si>
    <t>8900</t>
  </si>
  <si>
    <t>Pārējie iepriekš neuzskaitītie budžeta izdevumi, kas veidojas pēc uzkrāšanas principa un nav uzskaitīti citos koda 8000 apakškodos</t>
  </si>
  <si>
    <t>III.</t>
  </si>
  <si>
    <t>Ieņēmumu pārsniegums (+) vai deficīts (-)</t>
  </si>
  <si>
    <t>IV.</t>
  </si>
  <si>
    <t>Finansēšana</t>
  </si>
  <si>
    <t>F20010000</t>
  </si>
  <si>
    <t>Naudas līdzekļi un noguldījumi (bilances aktīvā)</t>
  </si>
  <si>
    <t>F21010000</t>
  </si>
  <si>
    <t>Naudas līdzekļi</t>
  </si>
  <si>
    <t>F21010000 AS</t>
  </si>
  <si>
    <t>F21010000 AB</t>
  </si>
  <si>
    <t>Naudas līdzekļu atlikums perioda beigās</t>
  </si>
  <si>
    <t>F22010000</t>
  </si>
  <si>
    <t>Pieprasījuma noguldījumi (bilances aktīvā)</t>
  </si>
  <si>
    <t>F22010000 AS</t>
  </si>
  <si>
    <t>Pieprasījuma noguldījumu atlikums gada sākumā</t>
  </si>
  <si>
    <t>F22010000 AB</t>
  </si>
  <si>
    <t>Pieprasījuma noguldījumu atlikums perioda beigās</t>
  </si>
  <si>
    <t>F29010000</t>
  </si>
  <si>
    <t>Termiņnoguldījumi (bilances aktīvā)</t>
  </si>
  <si>
    <t>F29010000 AS</t>
  </si>
  <si>
    <t>Termiņnoguldījumu atlikums gada sākumā</t>
  </si>
  <si>
    <t>F29010000 AB</t>
  </si>
  <si>
    <t>Termiņnoguldījumu atlikums perioda beigās</t>
  </si>
  <si>
    <t>F30010000</t>
  </si>
  <si>
    <t>Iegādātie parāda vērtspapīri, izņemot atvasinātos finanšu instrumentus</t>
  </si>
  <si>
    <t>F30020000</t>
  </si>
  <si>
    <t>Emitētie parāda vērtspapīri</t>
  </si>
  <si>
    <t>F40020000</t>
  </si>
  <si>
    <t>F40010000</t>
  </si>
  <si>
    <t>Aizdevumi</t>
  </si>
  <si>
    <t>F50010000</t>
  </si>
  <si>
    <t>Akcijas un cita līdzdalība  pašu kapitālā</t>
  </si>
  <si>
    <t>F55010000</t>
  </si>
  <si>
    <t>Akcijas un cita līdzdalība komersantu pašu kapitālā, neskaitot kopieguldījumu fondu akcijas, un ieguldījumi starptautisko organizāciju kapitālā</t>
  </si>
  <si>
    <t>F56010000</t>
  </si>
  <si>
    <t>Kopieguldījumu fondu akcijas</t>
  </si>
  <si>
    <t>Izziņa par naudas līdzekļu un noguldījumu atlikumiem</t>
  </si>
  <si>
    <t>Klasifikācijas kods</t>
  </si>
  <si>
    <t>F20010000 AS</t>
  </si>
  <si>
    <t>Naudas līdzekļu un noguldījumu atlikums gada sākumā</t>
  </si>
  <si>
    <t>F20010000 AB</t>
  </si>
  <si>
    <t>Naudas līdzekļu un noguldījumu atlikums perioda beigās</t>
  </si>
  <si>
    <t>ŠIS DOKUMENTS IR SAGATAVOTS UN ELEKTRONISKI PARAKSTĪTS EPĀRSKATU SISTĒMĀ</t>
  </si>
  <si>
    <t xml:space="preserve">Veidlapas aktuālās redakcijas numurs: Nr. 1
Izvēlētās redakcijas numurs: Nr. 1
1. Sagatavošanā 06.04.2017 09:12:35
</t>
  </si>
  <si>
    <r>
      <t>1.</t>
    </r>
    <r>
      <rPr>
        <sz val="7"/>
        <color theme="1"/>
        <rFont val="Times New Roman"/>
        <family val="1"/>
        <charset val="186"/>
      </rPr>
      <t xml:space="preserve">        </t>
    </r>
    <r>
      <rPr>
        <sz val="12"/>
        <color theme="1"/>
        <rFont val="Times New Roman"/>
        <family val="1"/>
        <charset val="186"/>
      </rPr>
      <t>Valsts autoceļu fonda programmas piešķirto līdzekļu ieņēmumi un izlietojums vidējam termiņam (2016. - 2018.gadam):</t>
    </r>
  </si>
  <si>
    <t xml:space="preserve">01.01.2017. </t>
  </si>
  <si>
    <t>Fakts (EUR)</t>
  </si>
  <si>
    <t>(EUR)</t>
  </si>
  <si>
    <t>Konta atlikums gada sākumā</t>
  </si>
  <si>
    <t>Ieņēmumi</t>
  </si>
  <si>
    <t>Izdevumi</t>
  </si>
  <si>
    <t>Konta atlikums gada beigās</t>
  </si>
  <si>
    <r>
      <t>2.</t>
    </r>
    <r>
      <rPr>
        <sz val="7"/>
        <color theme="1"/>
        <rFont val="Times New Roman"/>
        <family val="1"/>
        <charset val="186"/>
      </rPr>
      <t xml:space="preserve">        </t>
    </r>
    <r>
      <rPr>
        <sz val="12"/>
        <color theme="1"/>
        <rFont val="Times New Roman"/>
        <family val="1"/>
        <charset val="186"/>
      </rPr>
      <t>Dabas resursu nodokļa ieņēmumi un izdevumi:</t>
    </r>
  </si>
  <si>
    <t>Plāns</t>
  </si>
  <si>
    <t>Fakts</t>
  </si>
  <si>
    <r>
      <t>2.1.</t>
    </r>
    <r>
      <rPr>
        <sz val="7"/>
        <color theme="1"/>
        <rFont val="Times New Roman"/>
        <family val="1"/>
        <charset val="186"/>
      </rPr>
      <t xml:space="preserve">       </t>
    </r>
    <r>
      <rPr>
        <sz val="12"/>
        <color theme="1"/>
        <rFont val="Times New Roman"/>
        <family val="1"/>
        <charset val="186"/>
      </rPr>
      <t xml:space="preserve">līdzekļu atlikums 2017.gada 1.janvārī </t>
    </r>
  </si>
  <si>
    <r>
      <t xml:space="preserve">- </t>
    </r>
    <r>
      <rPr>
        <b/>
        <sz val="12"/>
        <color theme="1"/>
        <rFont val="Times New Roman"/>
        <family val="1"/>
        <charset val="186"/>
      </rPr>
      <t>EUR 82 159</t>
    </r>
  </si>
  <si>
    <r>
      <t>2.2.</t>
    </r>
    <r>
      <rPr>
        <sz val="7"/>
        <color theme="1"/>
        <rFont val="Times New Roman"/>
        <family val="1"/>
        <charset val="186"/>
      </rPr>
      <t xml:space="preserve">       </t>
    </r>
    <r>
      <rPr>
        <sz val="12"/>
        <color theme="1"/>
        <rFont val="Times New Roman"/>
        <family val="1"/>
        <charset val="186"/>
      </rPr>
      <t xml:space="preserve">ieņēmumi </t>
    </r>
  </si>
  <si>
    <r>
      <t xml:space="preserve">- </t>
    </r>
    <r>
      <rPr>
        <b/>
        <sz val="12"/>
        <color theme="1"/>
        <rFont val="Times New Roman"/>
        <family val="1"/>
        <charset val="186"/>
      </rPr>
      <t>EUR 50 000</t>
    </r>
  </si>
  <si>
    <r>
      <t>2.3.</t>
    </r>
    <r>
      <rPr>
        <sz val="7"/>
        <color theme="1"/>
        <rFont val="Times New Roman"/>
        <family val="1"/>
        <charset val="186"/>
      </rPr>
      <t xml:space="preserve">       </t>
    </r>
    <r>
      <rPr>
        <sz val="12"/>
        <color theme="1"/>
        <rFont val="Times New Roman"/>
        <family val="1"/>
        <charset val="186"/>
      </rPr>
      <t xml:space="preserve">izdevumi </t>
    </r>
  </si>
  <si>
    <r>
      <t xml:space="preserve">- </t>
    </r>
    <r>
      <rPr>
        <b/>
        <sz val="12"/>
        <color theme="1"/>
        <rFont val="Times New Roman"/>
        <family val="1"/>
        <charset val="186"/>
      </rPr>
      <t>EUR 132 159</t>
    </r>
  </si>
  <si>
    <r>
      <t>2.4.</t>
    </r>
    <r>
      <rPr>
        <sz val="7"/>
        <color theme="1"/>
        <rFont val="Times New Roman"/>
        <family val="1"/>
        <charset val="186"/>
      </rPr>
      <t xml:space="preserve">       </t>
    </r>
    <r>
      <rPr>
        <sz val="12"/>
        <color theme="1"/>
        <rFont val="Times New Roman"/>
        <family val="1"/>
        <charset val="186"/>
      </rPr>
      <t xml:space="preserve">līdzekļu atlikums 2017.gada 31.decembrī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</si>
</sst>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60" x14ac:knownFonts="1">
    <font>
      <sz val="9"/>
      <color theme="1"/>
      <name val="Arial"/>
      <family val="2"/>
      <charset val="186"/>
    </font>
    <font>
      <sz val="11"/>
      <color theme="1"/>
      <name val="Calibri"/>
      <family val="2"/>
      <charset val="186"/>
      <scheme val="minor"/>
    </font>
    <font>
      <sz val="11"/>
      <name val="Times New Roman"/>
      <family val="1"/>
      <charset val="186"/>
    </font>
    <font>
      <sz val="11"/>
      <color indexed="56"/>
      <name val="Times New Roman"/>
      <family val="1"/>
      <charset val="186"/>
    </font>
    <font>
      <sz val="11"/>
      <color indexed="10"/>
      <name val="Times New Roman"/>
      <family val="1"/>
      <charset val="186"/>
    </font>
    <font>
      <sz val="11"/>
      <color theme="9" tint="-0.499984740745262"/>
      <name val="Times New Roman"/>
      <family val="1"/>
      <charset val="186"/>
    </font>
    <font>
      <sz val="11"/>
      <color theme="3"/>
      <name val="Times New Roman"/>
      <family val="1"/>
      <charset val="186"/>
    </font>
    <font>
      <sz val="9"/>
      <color theme="1"/>
      <name val="Arial"/>
      <family val="2"/>
      <charset val="186"/>
    </font>
    <font>
      <sz val="11"/>
      <color rgb="FFC00000"/>
      <name val="Times New Roman"/>
      <family val="1"/>
      <charset val="186"/>
    </font>
    <font>
      <sz val="11"/>
      <color indexed="8"/>
      <name val="Calibri"/>
      <family val="2"/>
      <charset val="186"/>
    </font>
    <font>
      <b/>
      <sz val="11"/>
      <name val="Times New Roman"/>
      <family val="1"/>
      <charset val="186"/>
    </font>
    <font>
      <b/>
      <sz val="11"/>
      <color theme="9" tint="-0.499984740745262"/>
      <name val="Times New Roman"/>
      <family val="1"/>
    </font>
    <font>
      <b/>
      <sz val="11"/>
      <name val="Times New Roman"/>
      <family val="1"/>
    </font>
    <font>
      <b/>
      <sz val="11"/>
      <color rgb="FFC00000"/>
      <name val="Times New Roman"/>
      <family val="1"/>
      <charset val="186"/>
    </font>
    <font>
      <sz val="10"/>
      <name val="Arial"/>
      <family val="2"/>
      <charset val="186"/>
    </font>
    <font>
      <b/>
      <sz val="11"/>
      <color indexed="56"/>
      <name val="Times New Roman"/>
      <family val="1"/>
      <charset val="186"/>
    </font>
    <font>
      <b/>
      <sz val="11"/>
      <color theme="9" tint="-0.499984740745262"/>
      <name val="Times New Roman"/>
      <family val="1"/>
      <charset val="186"/>
    </font>
    <font>
      <b/>
      <sz val="11"/>
      <color theme="3"/>
      <name val="Times New Roman"/>
      <family val="1"/>
      <charset val="186"/>
    </font>
    <font>
      <sz val="11"/>
      <color indexed="8"/>
      <name val="Times New Roman"/>
      <family val="1"/>
      <charset val="186"/>
    </font>
    <font>
      <sz val="11"/>
      <color theme="3" tint="-0.499984740745262"/>
      <name val="Times New Roman"/>
      <family val="1"/>
      <charset val="186"/>
    </font>
    <font>
      <sz val="10"/>
      <name val="Times New Roman"/>
      <family val="1"/>
      <charset val="186"/>
    </font>
    <font>
      <sz val="10"/>
      <color indexed="9"/>
      <name val="Times New Roman"/>
      <family val="1"/>
      <charset val="186"/>
    </font>
    <font>
      <i/>
      <sz val="11"/>
      <name val="Times New Roman"/>
      <family val="1"/>
    </font>
    <font>
      <sz val="11"/>
      <color rgb="FFFF0000"/>
      <name val="Times New Roman"/>
      <family val="1"/>
      <charset val="186"/>
    </font>
    <font>
      <i/>
      <sz val="11"/>
      <name val="Times New Roman"/>
      <family val="1"/>
      <charset val="186"/>
    </font>
    <font>
      <sz val="11"/>
      <color theme="6" tint="-0.499984740745262"/>
      <name val="Times New Roman"/>
      <family val="1"/>
      <charset val="186"/>
    </font>
    <font>
      <sz val="11"/>
      <color indexed="9"/>
      <name val="Times New Roman"/>
      <family val="1"/>
      <charset val="186"/>
    </font>
    <font>
      <sz val="11"/>
      <color theme="3"/>
      <name val="Calibri"/>
      <family val="2"/>
      <charset val="186"/>
      <scheme val="minor"/>
    </font>
    <font>
      <sz val="11"/>
      <color theme="9" tint="-0.499984740745262"/>
      <name val="Calibri"/>
      <family val="2"/>
      <charset val="186"/>
      <scheme val="minor"/>
    </font>
    <font>
      <sz val="11"/>
      <name val="Calibri"/>
      <family val="2"/>
      <charset val="186"/>
      <scheme val="minor"/>
    </font>
    <font>
      <sz val="10"/>
      <color indexed="56"/>
      <name val="Times New Roman"/>
      <family val="1"/>
      <charset val="186"/>
    </font>
    <font>
      <sz val="10"/>
      <color theme="6" tint="-0.499984740745262"/>
      <name val="Times New Roman"/>
      <family val="1"/>
      <charset val="186"/>
    </font>
    <font>
      <sz val="10"/>
      <color theme="9" tint="-0.499984740745262"/>
      <name val="Times New Roman"/>
      <family val="1"/>
      <charset val="186"/>
    </font>
    <font>
      <sz val="10"/>
      <color theme="3"/>
      <name val="Times New Roman"/>
      <family val="1"/>
      <charset val="186"/>
    </font>
    <font>
      <sz val="10"/>
      <color rgb="FFC00000"/>
      <name val="Times New Roman"/>
      <family val="1"/>
      <charset val="186"/>
    </font>
    <font>
      <b/>
      <sz val="10"/>
      <name val="Times New Roman"/>
      <family val="1"/>
      <charset val="186"/>
    </font>
    <font>
      <b/>
      <sz val="11"/>
      <color indexed="10"/>
      <name val="Times New Roman"/>
      <family val="1"/>
      <charset val="186"/>
    </font>
    <font>
      <sz val="11"/>
      <color theme="0"/>
      <name val="Times New Roman"/>
      <family val="1"/>
      <charset val="186"/>
    </font>
    <font>
      <b/>
      <sz val="11"/>
      <color indexed="8"/>
      <name val="Times New Roman"/>
      <family val="1"/>
      <charset val="186"/>
    </font>
    <font>
      <sz val="11"/>
      <name val="Times New Roman"/>
      <family val="1"/>
    </font>
    <font>
      <b/>
      <sz val="11"/>
      <color theme="1"/>
      <name val="Times New Roman"/>
      <family val="1"/>
      <charset val="186"/>
    </font>
    <font>
      <sz val="11"/>
      <color theme="1"/>
      <name val="Times New Roman"/>
      <family val="1"/>
      <charset val="186"/>
    </font>
    <font>
      <sz val="11"/>
      <color theme="3"/>
      <name val="Times New Roman"/>
      <family val="1"/>
    </font>
    <font>
      <b/>
      <sz val="9"/>
      <color indexed="81"/>
      <name val="Tahoma"/>
      <family val="2"/>
      <charset val="186"/>
    </font>
    <font>
      <sz val="9"/>
      <color indexed="81"/>
      <name val="Tahoma"/>
      <family val="2"/>
      <charset val="186"/>
    </font>
    <font>
      <b/>
      <sz val="9"/>
      <color indexed="81"/>
      <name val="Tahoma"/>
      <family val="2"/>
    </font>
    <font>
      <sz val="9"/>
      <color indexed="81"/>
      <name val="Tahoma"/>
      <family val="2"/>
    </font>
    <font>
      <b/>
      <sz val="12"/>
      <name val="Times New Roman"/>
      <family val="1"/>
      <charset val="186"/>
    </font>
    <font>
      <sz val="12"/>
      <name val="Times New Roman"/>
      <family val="1"/>
      <charset val="186"/>
    </font>
    <font>
      <sz val="12"/>
      <color theme="1"/>
      <name val="Times New Roman"/>
      <family val="1"/>
      <charset val="186"/>
    </font>
    <font>
      <b/>
      <sz val="14"/>
      <color indexed="8"/>
      <name val="Times New Roman"/>
      <family val="1"/>
      <charset val="186"/>
    </font>
    <font>
      <b/>
      <sz val="14"/>
      <name val="Times New Roman"/>
      <family val="1"/>
      <charset val="186"/>
    </font>
    <font>
      <sz val="14"/>
      <name val="Times New Roman"/>
      <family val="1"/>
      <charset val="186"/>
    </font>
    <font>
      <sz val="14"/>
      <color theme="1"/>
      <name val="Times New Roman"/>
      <family val="1"/>
      <charset val="186"/>
    </font>
    <font>
      <i/>
      <sz val="10"/>
      <name val="Times New Roman"/>
      <family val="1"/>
      <charset val="186"/>
    </font>
    <font>
      <b/>
      <sz val="10"/>
      <color indexed="8"/>
      <name val="Times New Roman"/>
      <family val="1"/>
      <charset val="186"/>
    </font>
    <font>
      <sz val="9"/>
      <name val="Times New Roman"/>
      <family val="1"/>
      <charset val="186"/>
    </font>
    <font>
      <sz val="8"/>
      <name val="Times New Roman"/>
      <family val="1"/>
      <charset val="186"/>
    </font>
    <font>
      <sz val="7"/>
      <color theme="1"/>
      <name val="Times New Roman"/>
      <family val="1"/>
      <charset val="186"/>
    </font>
    <font>
      <b/>
      <sz val="12"/>
      <color theme="1"/>
      <name val="Times New Roman"/>
      <family val="1"/>
      <charset val="186"/>
    </font>
  </fonts>
  <fills count="21">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indexed="10"/>
        <bgColor indexed="64"/>
      </patternFill>
    </fill>
    <fill>
      <patternFill patternType="solid">
        <fgColor rgb="FFFFC000"/>
        <bgColor indexed="64"/>
      </patternFill>
    </fill>
    <fill>
      <patternFill patternType="solid">
        <fgColor theme="3" tint="0.59999389629810485"/>
        <bgColor indexed="64"/>
      </patternFill>
    </fill>
    <fill>
      <patternFill patternType="solid">
        <fgColor indexed="47"/>
        <bgColor indexed="64"/>
      </patternFill>
    </fill>
    <fill>
      <patternFill patternType="solid">
        <fgColor indexed="4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indexed="13"/>
        <bgColor indexed="64"/>
      </patternFill>
    </fill>
    <fill>
      <patternFill patternType="solid">
        <fgColor indexed="9"/>
        <bgColor indexed="26"/>
      </patternFill>
    </fill>
    <fill>
      <patternFill patternType="solid">
        <fgColor theme="5" tint="0.79998168889431442"/>
        <bgColor indexed="26"/>
      </patternFill>
    </fill>
    <fill>
      <patternFill patternType="solid">
        <fgColor theme="4" tint="0.59999389629810485"/>
        <bgColor indexed="26"/>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style="hair">
        <color indexed="8"/>
      </right>
      <top style="hair">
        <color indexed="8"/>
      </top>
      <bottom style="hair">
        <color indexed="8"/>
      </bottom>
      <diagonal/>
    </border>
    <border>
      <left style="medium">
        <color indexed="64"/>
      </left>
      <right/>
      <top/>
      <bottom/>
      <diagonal/>
    </border>
  </borders>
  <cellStyleXfs count="12">
    <xf numFmtId="0" fontId="0"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4" fillId="0" borderId="0"/>
    <xf numFmtId="43" fontId="9" fillId="0" borderId="0" applyFont="0" applyFill="0" applyBorder="0" applyAlignment="0" applyProtection="0"/>
    <xf numFmtId="9" fontId="9" fillId="0" borderId="0" applyFont="0" applyFill="0" applyBorder="0" applyAlignment="0" applyProtection="0"/>
    <xf numFmtId="0" fontId="14" fillId="0" borderId="0"/>
    <xf numFmtId="0" fontId="14" fillId="0" borderId="0"/>
  </cellStyleXfs>
  <cellXfs count="581">
    <xf numFmtId="0" fontId="0" fillId="0" borderId="0" xfId="0"/>
    <xf numFmtId="0" fontId="2" fillId="0" borderId="0" xfId="3" applyFont="1"/>
    <xf numFmtId="0" fontId="3" fillId="0" borderId="0" xfId="3" applyFont="1" applyAlignment="1">
      <alignment wrapText="1"/>
    </xf>
    <xf numFmtId="0" fontId="4" fillId="0" borderId="0" xfId="3" applyFont="1" applyAlignment="1">
      <alignment wrapText="1"/>
    </xf>
    <xf numFmtId="0" fontId="5" fillId="0" borderId="0" xfId="3" applyFont="1" applyAlignment="1">
      <alignment wrapText="1"/>
    </xf>
    <xf numFmtId="0" fontId="6" fillId="0" borderId="0" xfId="3" applyFont="1" applyAlignment="1">
      <alignment wrapText="1"/>
    </xf>
    <xf numFmtId="0" fontId="2" fillId="0" borderId="0" xfId="3" applyFont="1" applyAlignment="1">
      <alignment wrapText="1"/>
    </xf>
    <xf numFmtId="9" fontId="2" fillId="0" borderId="0" xfId="2" applyFont="1" applyAlignment="1">
      <alignment wrapText="1"/>
    </xf>
    <xf numFmtId="0" fontId="8" fillId="0" borderId="0" xfId="3" applyFont="1" applyAlignment="1">
      <alignment wrapText="1"/>
    </xf>
    <xf numFmtId="9" fontId="8" fillId="0" borderId="0" xfId="4" applyFont="1" applyAlignment="1">
      <alignment wrapText="1"/>
    </xf>
    <xf numFmtId="0" fontId="10" fillId="0" borderId="0" xfId="3" applyFont="1"/>
    <xf numFmtId="0" fontId="2" fillId="0" borderId="0" xfId="3" applyFont="1" applyFill="1"/>
    <xf numFmtId="0" fontId="10" fillId="0" borderId="0" xfId="3" applyFont="1" applyFill="1"/>
    <xf numFmtId="0" fontId="2" fillId="0" borderId="0" xfId="3" applyFont="1" applyFill="1" applyAlignment="1">
      <alignment wrapText="1"/>
    </xf>
    <xf numFmtId="3" fontId="3" fillId="0" borderId="0" xfId="3" applyNumberFormat="1" applyFont="1" applyFill="1"/>
    <xf numFmtId="3" fontId="4" fillId="0" borderId="0" xfId="3" applyNumberFormat="1" applyFont="1" applyFill="1"/>
    <xf numFmtId="3" fontId="5" fillId="0" borderId="0" xfId="3" applyNumberFormat="1" applyFont="1" applyFill="1"/>
    <xf numFmtId="3" fontId="6" fillId="0" borderId="0" xfId="3" applyNumberFormat="1" applyFont="1" applyFill="1"/>
    <xf numFmtId="0" fontId="6" fillId="0" borderId="0" xfId="3" applyFont="1" applyFill="1"/>
    <xf numFmtId="3" fontId="2" fillId="0" borderId="0" xfId="3" applyNumberFormat="1" applyFont="1" applyFill="1"/>
    <xf numFmtId="9" fontId="2" fillId="0" borderId="0" xfId="2" applyFont="1" applyFill="1"/>
    <xf numFmtId="9" fontId="8" fillId="0" borderId="0" xfId="4" applyFont="1" applyFill="1"/>
    <xf numFmtId="164" fontId="3" fillId="0" borderId="0" xfId="5" applyNumberFormat="1" applyFont="1"/>
    <xf numFmtId="164" fontId="4" fillId="0" borderId="0" xfId="5" applyNumberFormat="1" applyFont="1"/>
    <xf numFmtId="164" fontId="11" fillId="0" borderId="0" xfId="5" applyNumberFormat="1" applyFont="1"/>
    <xf numFmtId="164" fontId="6" fillId="0" borderId="0" xfId="5" applyNumberFormat="1" applyFont="1"/>
    <xf numFmtId="0" fontId="6" fillId="0" borderId="0" xfId="3" applyFont="1"/>
    <xf numFmtId="164" fontId="10" fillId="0" borderId="0" xfId="5" applyNumberFormat="1" applyFont="1"/>
    <xf numFmtId="43" fontId="2" fillId="0" borderId="0" xfId="1" applyFont="1"/>
    <xf numFmtId="9" fontId="2" fillId="0" borderId="0" xfId="2" applyFont="1"/>
    <xf numFmtId="9" fontId="8" fillId="0" borderId="0" xfId="4" applyFont="1"/>
    <xf numFmtId="9" fontId="3" fillId="0" borderId="0" xfId="6" applyFont="1"/>
    <xf numFmtId="9" fontId="4" fillId="0" borderId="0" xfId="4" applyFont="1"/>
    <xf numFmtId="9" fontId="5" fillId="0" borderId="0" xfId="4" applyFont="1"/>
    <xf numFmtId="9" fontId="6" fillId="0" borderId="0" xfId="6" applyFont="1"/>
    <xf numFmtId="9" fontId="6" fillId="0" borderId="0" xfId="4" applyFont="1"/>
    <xf numFmtId="9" fontId="2" fillId="0" borderId="0" xfId="4" applyFont="1"/>
    <xf numFmtId="9" fontId="2" fillId="0" borderId="0" xfId="6" applyFont="1"/>
    <xf numFmtId="3" fontId="8" fillId="0" borderId="0" xfId="6" applyNumberFormat="1" applyFont="1"/>
    <xf numFmtId="0" fontId="10" fillId="0" borderId="1" xfId="3" applyFont="1" applyBorder="1" applyAlignment="1">
      <alignment horizontal="center" vertical="center"/>
    </xf>
    <xf numFmtId="0" fontId="10" fillId="0" borderId="2" xfId="3" applyFont="1" applyBorder="1" applyAlignment="1">
      <alignment horizontal="center" vertical="center" wrapText="1"/>
    </xf>
    <xf numFmtId="0" fontId="15" fillId="0" borderId="3" xfId="7" applyFont="1" applyBorder="1" applyAlignment="1">
      <alignment horizontal="center" vertical="center" wrapText="1"/>
    </xf>
    <xf numFmtId="0" fontId="16" fillId="0" borderId="3" xfId="7" applyFont="1" applyBorder="1" applyAlignment="1">
      <alignment horizontal="center" vertical="center" wrapText="1"/>
    </xf>
    <xf numFmtId="0" fontId="17" fillId="0" borderId="3" xfId="7" applyFont="1" applyBorder="1" applyAlignment="1">
      <alignment horizontal="center" vertical="center" wrapText="1"/>
    </xf>
    <xf numFmtId="0" fontId="10" fillId="0" borderId="3" xfId="7" applyFont="1" applyBorder="1" applyAlignment="1">
      <alignment horizontal="center" vertical="center" wrapText="1"/>
    </xf>
    <xf numFmtId="9" fontId="10" fillId="0" borderId="3" xfId="2" applyFont="1" applyBorder="1" applyAlignment="1">
      <alignment horizontal="center" vertical="center" wrapText="1"/>
    </xf>
    <xf numFmtId="9" fontId="10" fillId="0" borderId="3" xfId="4" applyFont="1" applyBorder="1" applyAlignment="1">
      <alignment horizontal="center" vertical="center" wrapText="1"/>
    </xf>
    <xf numFmtId="0" fontId="13" fillId="0" borderId="3" xfId="7" applyFont="1" applyBorder="1" applyAlignment="1">
      <alignment horizontal="center" vertical="center" wrapText="1"/>
    </xf>
    <xf numFmtId="9" fontId="13" fillId="0" borderId="3" xfId="4" applyFont="1" applyBorder="1" applyAlignment="1">
      <alignment horizontal="center" vertical="center" wrapText="1"/>
    </xf>
    <xf numFmtId="0" fontId="10" fillId="2" borderId="4" xfId="3" applyFont="1" applyFill="1" applyBorder="1"/>
    <xf numFmtId="0" fontId="10" fillId="2" borderId="5" xfId="3" applyFont="1" applyFill="1" applyBorder="1" applyAlignment="1">
      <alignment wrapText="1"/>
    </xf>
    <xf numFmtId="3" fontId="15" fillId="2" borderId="6" xfId="3" applyNumberFormat="1" applyFont="1" applyFill="1" applyBorder="1"/>
    <xf numFmtId="3" fontId="17" fillId="2" borderId="6" xfId="3" applyNumberFormat="1" applyFont="1" applyFill="1" applyBorder="1"/>
    <xf numFmtId="3" fontId="16" fillId="2" borderId="6" xfId="3" applyNumberFormat="1" applyFont="1" applyFill="1" applyBorder="1"/>
    <xf numFmtId="3" fontId="10" fillId="2" borderId="6" xfId="3" applyNumberFormat="1" applyFont="1" applyFill="1" applyBorder="1"/>
    <xf numFmtId="9" fontId="10" fillId="2" borderId="6" xfId="2" applyFont="1" applyFill="1" applyBorder="1"/>
    <xf numFmtId="3" fontId="13" fillId="2" borderId="6" xfId="3" applyNumberFormat="1" applyFont="1" applyFill="1" applyBorder="1"/>
    <xf numFmtId="9" fontId="13" fillId="2" borderId="6" xfId="4" applyFont="1" applyFill="1" applyBorder="1"/>
    <xf numFmtId="9" fontId="8" fillId="2" borderId="6" xfId="4" applyFont="1" applyFill="1" applyBorder="1" applyAlignment="1">
      <alignment wrapText="1"/>
    </xf>
    <xf numFmtId="0" fontId="10" fillId="3" borderId="4" xfId="3" quotePrefix="1" applyFont="1" applyFill="1" applyBorder="1"/>
    <xf numFmtId="0" fontId="10" fillId="3" borderId="5" xfId="3" applyFont="1" applyFill="1" applyBorder="1" applyAlignment="1">
      <alignment wrapText="1"/>
    </xf>
    <xf numFmtId="3" fontId="15" fillId="3" borderId="6" xfId="3" applyNumberFormat="1" applyFont="1" applyFill="1" applyBorder="1"/>
    <xf numFmtId="3" fontId="17" fillId="3" borderId="6" xfId="3" applyNumberFormat="1" applyFont="1" applyFill="1" applyBorder="1"/>
    <xf numFmtId="3" fontId="16" fillId="3" borderId="6" xfId="3" applyNumberFormat="1" applyFont="1" applyFill="1" applyBorder="1"/>
    <xf numFmtId="3" fontId="10" fillId="3" borderId="6" xfId="3" applyNumberFormat="1" applyFont="1" applyFill="1" applyBorder="1"/>
    <xf numFmtId="9" fontId="10" fillId="3" borderId="6" xfId="2" applyFont="1" applyFill="1" applyBorder="1"/>
    <xf numFmtId="3" fontId="13" fillId="3" borderId="6" xfId="3" applyNumberFormat="1" applyFont="1" applyFill="1" applyBorder="1"/>
    <xf numFmtId="9" fontId="13" fillId="3" borderId="6" xfId="4" applyFont="1" applyFill="1" applyBorder="1"/>
    <xf numFmtId="0" fontId="18"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3" fillId="0" borderId="9" xfId="3" applyNumberFormat="1" applyFont="1" applyFill="1" applyBorder="1"/>
    <xf numFmtId="3" fontId="6" fillId="0" borderId="9" xfId="3" applyNumberFormat="1" applyFont="1" applyFill="1" applyBorder="1"/>
    <xf numFmtId="3" fontId="5" fillId="0" borderId="9" xfId="3" applyNumberFormat="1" applyFont="1" applyFill="1" applyBorder="1"/>
    <xf numFmtId="3" fontId="2" fillId="0" borderId="9" xfId="3" applyNumberFormat="1" applyFont="1" applyFill="1" applyBorder="1"/>
    <xf numFmtId="9" fontId="2" fillId="0" borderId="9" xfId="2" applyFont="1" applyFill="1" applyBorder="1"/>
    <xf numFmtId="3" fontId="8" fillId="0" borderId="9" xfId="3" applyNumberFormat="1" applyFont="1" applyFill="1" applyBorder="1"/>
    <xf numFmtId="9" fontId="8" fillId="0" borderId="9" xfId="4" applyFont="1" applyFill="1" applyBorder="1"/>
    <xf numFmtId="164" fontId="3" fillId="0" borderId="9" xfId="5" applyNumberFormat="1" applyFont="1" applyFill="1" applyBorder="1"/>
    <xf numFmtId="164" fontId="6" fillId="0" borderId="9" xfId="5" applyNumberFormat="1" applyFont="1" applyFill="1" applyBorder="1"/>
    <xf numFmtId="0" fontId="10" fillId="3" borderId="7" xfId="3" applyFont="1" applyFill="1" applyBorder="1"/>
    <xf numFmtId="0" fontId="10" fillId="3" borderId="8" xfId="3" applyFont="1" applyFill="1" applyBorder="1" applyAlignment="1">
      <alignment wrapText="1"/>
    </xf>
    <xf numFmtId="3" fontId="15" fillId="3" borderId="9" xfId="3" applyNumberFormat="1" applyFont="1" applyFill="1" applyBorder="1"/>
    <xf numFmtId="3" fontId="17" fillId="3" borderId="9" xfId="3" applyNumberFormat="1" applyFont="1" applyFill="1" applyBorder="1"/>
    <xf numFmtId="3" fontId="16" fillId="3" borderId="9" xfId="3" applyNumberFormat="1" applyFont="1" applyFill="1" applyBorder="1"/>
    <xf numFmtId="3" fontId="10" fillId="3" borderId="9" xfId="3" applyNumberFormat="1" applyFont="1" applyFill="1" applyBorder="1"/>
    <xf numFmtId="9" fontId="10" fillId="3" borderId="9" xfId="2" applyFont="1" applyFill="1" applyBorder="1"/>
    <xf numFmtId="3" fontId="13" fillId="3" borderId="9" xfId="3" applyNumberFormat="1" applyFont="1" applyFill="1" applyBorder="1"/>
    <xf numFmtId="9" fontId="13" fillId="3" borderId="9" xfId="4" applyFont="1" applyFill="1" applyBorder="1"/>
    <xf numFmtId="3" fontId="3" fillId="0" borderId="9" xfId="3" applyNumberFormat="1" applyFont="1" applyBorder="1"/>
    <xf numFmtId="3" fontId="6" fillId="0" borderId="9" xfId="3" applyNumberFormat="1" applyFont="1" applyBorder="1"/>
    <xf numFmtId="3" fontId="5" fillId="0" borderId="9" xfId="3" applyNumberFormat="1" applyFont="1" applyBorder="1"/>
    <xf numFmtId="3" fontId="2" fillId="0" borderId="9" xfId="3" applyNumberFormat="1" applyFont="1" applyBorder="1"/>
    <xf numFmtId="9" fontId="2" fillId="0" borderId="9" xfId="2" applyFont="1" applyBorder="1"/>
    <xf numFmtId="3" fontId="8" fillId="0" borderId="9" xfId="3" applyNumberFormat="1" applyFont="1" applyBorder="1"/>
    <xf numFmtId="9" fontId="8" fillId="0" borderId="9" xfId="4" applyFont="1" applyBorder="1"/>
    <xf numFmtId="3" fontId="10" fillId="0" borderId="0" xfId="3" applyNumberFormat="1" applyFont="1"/>
    <xf numFmtId="9" fontId="2" fillId="0" borderId="9" xfId="2" applyFont="1" applyFill="1" applyBorder="1" applyAlignment="1">
      <alignment wrapText="1"/>
    </xf>
    <xf numFmtId="3" fontId="3" fillId="0" borderId="10" xfId="3" applyNumberFormat="1" applyFont="1" applyFill="1" applyBorder="1"/>
    <xf numFmtId="3" fontId="6" fillId="0" borderId="10" xfId="3" applyNumberFormat="1" applyFont="1" applyFill="1" applyBorder="1"/>
    <xf numFmtId="3" fontId="5" fillId="0" borderId="10" xfId="3" applyNumberFormat="1" applyFont="1" applyFill="1" applyBorder="1"/>
    <xf numFmtId="3" fontId="2" fillId="0" borderId="10" xfId="3" applyNumberFormat="1" applyFont="1" applyFill="1" applyBorder="1"/>
    <xf numFmtId="9" fontId="2" fillId="0" borderId="10" xfId="2" applyFont="1" applyFill="1" applyBorder="1"/>
    <xf numFmtId="3" fontId="8" fillId="0" borderId="10" xfId="3" applyNumberFormat="1" applyFont="1" applyFill="1" applyBorder="1"/>
    <xf numFmtId="9" fontId="8" fillId="0" borderId="10" xfId="4" applyFont="1" applyFill="1" applyBorder="1"/>
    <xf numFmtId="3" fontId="19" fillId="0" borderId="9" xfId="3" applyNumberFormat="1" applyFont="1" applyFill="1" applyBorder="1"/>
    <xf numFmtId="0" fontId="1" fillId="0" borderId="0" xfId="3"/>
    <xf numFmtId="0" fontId="20" fillId="0" borderId="7" xfId="3" applyFont="1" applyBorder="1" applyAlignment="1">
      <alignment horizontal="left" indent="2"/>
    </xf>
    <xf numFmtId="0" fontId="20" fillId="0" borderId="8" xfId="3" applyFont="1" applyBorder="1" applyAlignment="1">
      <alignment horizontal="left" wrapText="1" indent="3"/>
    </xf>
    <xf numFmtId="9" fontId="22" fillId="0" borderId="9" xfId="2" applyFont="1" applyBorder="1"/>
    <xf numFmtId="0" fontId="20" fillId="0" borderId="8" xfId="3" applyFont="1" applyFill="1" applyBorder="1" applyAlignment="1">
      <alignment horizontal="left" wrapText="1" indent="3"/>
    </xf>
    <xf numFmtId="0" fontId="21" fillId="0" borderId="8" xfId="3" applyFont="1" applyBorder="1" applyAlignment="1">
      <alignment horizontal="left" wrapText="1" indent="3"/>
    </xf>
    <xf numFmtId="9" fontId="8" fillId="3" borderId="9" xfId="4" applyFont="1" applyFill="1" applyBorder="1" applyAlignment="1">
      <alignment wrapText="1"/>
    </xf>
    <xf numFmtId="3" fontId="17" fillId="0" borderId="9" xfId="3" applyNumberFormat="1" applyFont="1" applyFill="1" applyBorder="1"/>
    <xf numFmtId="0" fontId="23" fillId="0" borderId="7" xfId="3" applyFont="1" applyBorder="1" applyAlignment="1">
      <alignment horizontal="left" indent="1"/>
    </xf>
    <xf numFmtId="0" fontId="2" fillId="4" borderId="8" xfId="3" applyFont="1" applyFill="1" applyBorder="1" applyAlignment="1">
      <alignment horizontal="left" wrapText="1" indent="2"/>
    </xf>
    <xf numFmtId="3" fontId="6" fillId="4" borderId="9" xfId="3" applyNumberFormat="1" applyFont="1" applyFill="1" applyBorder="1"/>
    <xf numFmtId="9" fontId="22" fillId="0" borderId="9" xfId="2" applyFont="1" applyBorder="1" applyAlignment="1">
      <alignment wrapText="1"/>
    </xf>
    <xf numFmtId="3" fontId="8" fillId="4" borderId="9" xfId="3" applyNumberFormat="1" applyFont="1" applyFill="1" applyBorder="1"/>
    <xf numFmtId="9" fontId="8" fillId="4" borderId="9" xfId="4" applyFont="1" applyFill="1" applyBorder="1"/>
    <xf numFmtId="9" fontId="8" fillId="0" borderId="9" xfId="4" applyFont="1" applyFill="1" applyBorder="1" applyAlignment="1">
      <alignment wrapText="1"/>
    </xf>
    <xf numFmtId="0" fontId="2" fillId="0" borderId="7" xfId="3" applyFont="1" applyFill="1" applyBorder="1" applyAlignment="1">
      <alignment horizontal="left" indent="1"/>
    </xf>
    <xf numFmtId="0" fontId="2" fillId="0" borderId="8" xfId="3" applyFont="1" applyFill="1" applyBorder="1" applyAlignment="1">
      <alignment horizontal="left" wrapText="1" indent="2"/>
    </xf>
    <xf numFmtId="0" fontId="2" fillId="5" borderId="0" xfId="3" applyFont="1" applyFill="1"/>
    <xf numFmtId="0" fontId="2" fillId="5" borderId="7" xfId="3" applyFont="1" applyFill="1" applyBorder="1" applyAlignment="1">
      <alignment horizontal="left" indent="1"/>
    </xf>
    <xf numFmtId="0" fontId="2" fillId="5" borderId="8" xfId="3" applyFont="1" applyFill="1" applyBorder="1" applyAlignment="1">
      <alignment horizontal="left" wrapText="1" indent="2"/>
    </xf>
    <xf numFmtId="3" fontId="3" fillId="5" borderId="9" xfId="3" applyNumberFormat="1" applyFont="1" applyFill="1" applyBorder="1"/>
    <xf numFmtId="3" fontId="4" fillId="5" borderId="9" xfId="3" applyNumberFormat="1" applyFont="1" applyFill="1" applyBorder="1"/>
    <xf numFmtId="3" fontId="5" fillId="5" borderId="9" xfId="3" applyNumberFormat="1" applyFont="1" applyFill="1" applyBorder="1"/>
    <xf numFmtId="3" fontId="6" fillId="5" borderId="9" xfId="3" applyNumberFormat="1" applyFont="1" applyFill="1" applyBorder="1"/>
    <xf numFmtId="3" fontId="2" fillId="5" borderId="9" xfId="3" applyNumberFormat="1" applyFont="1" applyFill="1" applyBorder="1"/>
    <xf numFmtId="9" fontId="2" fillId="5" borderId="9" xfId="2" applyFont="1" applyFill="1" applyBorder="1"/>
    <xf numFmtId="3" fontId="8" fillId="5" borderId="9" xfId="3" applyNumberFormat="1" applyFont="1" applyFill="1" applyBorder="1"/>
    <xf numFmtId="9" fontId="8" fillId="5" borderId="9" xfId="4" applyFont="1" applyFill="1" applyBorder="1"/>
    <xf numFmtId="0" fontId="10" fillId="5" borderId="0" xfId="3" applyFont="1" applyFill="1"/>
    <xf numFmtId="0" fontId="10" fillId="3" borderId="7" xfId="3" quotePrefix="1" applyFont="1" applyFill="1" applyBorder="1"/>
    <xf numFmtId="9" fontId="24" fillId="3" borderId="9" xfId="2" applyFont="1" applyFill="1" applyBorder="1" applyAlignment="1">
      <alignment wrapText="1"/>
    </xf>
    <xf numFmtId="3" fontId="25" fillId="6" borderId="9" xfId="3" applyNumberFormat="1" applyFont="1" applyFill="1" applyBorder="1"/>
    <xf numFmtId="3" fontId="8" fillId="7" borderId="9" xfId="3" applyNumberFormat="1" applyFont="1" applyFill="1" applyBorder="1"/>
    <xf numFmtId="3" fontId="6" fillId="6" borderId="9" xfId="3" applyNumberFormat="1" applyFont="1" applyFill="1" applyBorder="1"/>
    <xf numFmtId="0" fontId="27" fillId="0" borderId="0" xfId="3" applyFont="1"/>
    <xf numFmtId="0" fontId="28" fillId="0" borderId="0" xfId="3" applyFont="1" applyFill="1"/>
    <xf numFmtId="3" fontId="6" fillId="0" borderId="0" xfId="3" applyNumberFormat="1" applyFont="1" applyFill="1" applyBorder="1"/>
    <xf numFmtId="0" fontId="27" fillId="0" borderId="0" xfId="3" applyFont="1" applyFill="1"/>
    <xf numFmtId="0" fontId="29" fillId="0" borderId="0" xfId="3" applyFont="1" applyFill="1"/>
    <xf numFmtId="9" fontId="29" fillId="0" borderId="0" xfId="2" applyFont="1" applyFill="1"/>
    <xf numFmtId="0" fontId="29" fillId="0" borderId="0" xfId="3" applyFont="1"/>
    <xf numFmtId="0" fontId="20" fillId="5" borderId="7" xfId="3" applyFont="1" applyFill="1" applyBorder="1" applyAlignment="1">
      <alignment horizontal="left" indent="2"/>
    </xf>
    <xf numFmtId="0" fontId="20" fillId="5" borderId="8" xfId="3" applyFont="1" applyFill="1" applyBorder="1" applyAlignment="1">
      <alignment horizontal="left" wrapText="1" indent="3"/>
    </xf>
    <xf numFmtId="3" fontId="2" fillId="6" borderId="9" xfId="3" applyNumberFormat="1" applyFont="1" applyFill="1" applyBorder="1"/>
    <xf numFmtId="3" fontId="5" fillId="6" borderId="9" xfId="3" applyNumberFormat="1" applyFont="1" applyFill="1" applyBorder="1"/>
    <xf numFmtId="9" fontId="2" fillId="6" borderId="9" xfId="2" applyFont="1" applyFill="1" applyBorder="1"/>
    <xf numFmtId="3" fontId="30" fillId="8" borderId="9" xfId="3" applyNumberFormat="1" applyFont="1" applyFill="1" applyBorder="1"/>
    <xf numFmtId="3" fontId="31" fillId="8" borderId="9" xfId="3" applyNumberFormat="1" applyFont="1" applyFill="1" applyBorder="1"/>
    <xf numFmtId="3" fontId="32" fillId="8" borderId="9" xfId="3" applyNumberFormat="1" applyFont="1" applyFill="1" applyBorder="1"/>
    <xf numFmtId="3" fontId="33" fillId="8" borderId="9" xfId="3" applyNumberFormat="1" applyFont="1" applyFill="1" applyBorder="1"/>
    <xf numFmtId="3" fontId="20" fillId="8" borderId="9" xfId="3" applyNumberFormat="1" applyFont="1" applyFill="1" applyBorder="1"/>
    <xf numFmtId="9" fontId="20" fillId="8" borderId="9" xfId="2" applyFont="1" applyFill="1" applyBorder="1"/>
    <xf numFmtId="3" fontId="34" fillId="8" borderId="9" xfId="3" applyNumberFormat="1" applyFont="1" applyFill="1" applyBorder="1"/>
    <xf numFmtId="9" fontId="34" fillId="8" borderId="9" xfId="4" applyFont="1" applyFill="1" applyBorder="1"/>
    <xf numFmtId="0" fontId="35" fillId="0" borderId="0" xfId="3" applyFont="1"/>
    <xf numFmtId="0" fontId="20" fillId="0" borderId="0" xfId="3" applyFont="1"/>
    <xf numFmtId="3" fontId="30" fillId="9" borderId="9" xfId="3" applyNumberFormat="1" applyFont="1" applyFill="1" applyBorder="1"/>
    <xf numFmtId="3" fontId="33" fillId="9" borderId="9" xfId="3" applyNumberFormat="1" applyFont="1" applyFill="1" applyBorder="1"/>
    <xf numFmtId="3" fontId="32" fillId="9" borderId="9" xfId="3" applyNumberFormat="1" applyFont="1" applyFill="1" applyBorder="1"/>
    <xf numFmtId="3" fontId="20" fillId="9" borderId="9" xfId="3" applyNumberFormat="1" applyFont="1" applyFill="1" applyBorder="1"/>
    <xf numFmtId="9" fontId="20" fillId="9" borderId="9" xfId="2" applyFont="1" applyFill="1" applyBorder="1"/>
    <xf numFmtId="3" fontId="34" fillId="9" borderId="9" xfId="3" applyNumberFormat="1" applyFont="1" applyFill="1" applyBorder="1"/>
    <xf numFmtId="9" fontId="34" fillId="9" borderId="9" xfId="4" applyFont="1" applyFill="1" applyBorder="1"/>
    <xf numFmtId="0" fontId="2" fillId="10" borderId="0" xfId="3" applyFont="1" applyFill="1"/>
    <xf numFmtId="0" fontId="20" fillId="10" borderId="7" xfId="3" applyFont="1" applyFill="1" applyBorder="1" applyAlignment="1">
      <alignment horizontal="left" indent="2"/>
    </xf>
    <xf numFmtId="0" fontId="20" fillId="10" borderId="8" xfId="3" applyFont="1" applyFill="1" applyBorder="1" applyAlignment="1">
      <alignment horizontal="left" wrapText="1" indent="3"/>
    </xf>
    <xf numFmtId="3" fontId="3" fillId="10" borderId="9" xfId="3" applyNumberFormat="1" applyFont="1" applyFill="1" applyBorder="1"/>
    <xf numFmtId="3" fontId="6" fillId="10" borderId="9" xfId="3" applyNumberFormat="1" applyFont="1" applyFill="1" applyBorder="1"/>
    <xf numFmtId="3" fontId="5" fillId="10" borderId="9" xfId="3" applyNumberFormat="1" applyFont="1" applyFill="1" applyBorder="1"/>
    <xf numFmtId="3" fontId="2" fillId="10" borderId="9" xfId="3" applyNumberFormat="1" applyFont="1" applyFill="1" applyBorder="1"/>
    <xf numFmtId="9" fontId="2" fillId="10" borderId="9" xfId="2" applyFont="1" applyFill="1" applyBorder="1"/>
    <xf numFmtId="3" fontId="8" fillId="10" borderId="9" xfId="3" applyNumberFormat="1" applyFont="1" applyFill="1" applyBorder="1"/>
    <xf numFmtId="9" fontId="8" fillId="10" borderId="9" xfId="4" applyFont="1" applyFill="1" applyBorder="1"/>
    <xf numFmtId="0" fontId="10" fillId="10" borderId="0" xfId="3" applyFont="1" applyFill="1"/>
    <xf numFmtId="0" fontId="23" fillId="0" borderId="0" xfId="3" applyFont="1"/>
    <xf numFmtId="0" fontId="2" fillId="10" borderId="8" xfId="3" applyFont="1" applyFill="1" applyBorder="1" applyAlignment="1">
      <alignment horizontal="left" wrapText="1" indent="2"/>
    </xf>
    <xf numFmtId="9" fontId="22" fillId="0" borderId="9" xfId="2" applyFont="1" applyFill="1" applyBorder="1" applyAlignment="1">
      <alignment wrapText="1"/>
    </xf>
    <xf numFmtId="9" fontId="2" fillId="11" borderId="9" xfId="2" applyFont="1" applyFill="1" applyBorder="1" applyAlignment="1">
      <alignment wrapText="1"/>
    </xf>
    <xf numFmtId="0" fontId="2" fillId="2" borderId="7" xfId="3" applyFont="1" applyFill="1" applyBorder="1" applyAlignment="1">
      <alignment horizontal="left" indent="1"/>
    </xf>
    <xf numFmtId="0" fontId="2" fillId="2" borderId="8" xfId="3" applyFont="1" applyFill="1" applyBorder="1" applyAlignment="1">
      <alignment horizontal="left" wrapText="1" indent="2"/>
    </xf>
    <xf numFmtId="3" fontId="3" fillId="2" borderId="9" xfId="3" applyNumberFormat="1" applyFont="1" applyFill="1" applyBorder="1"/>
    <xf numFmtId="3" fontId="6" fillId="2" borderId="9" xfId="3" applyNumberFormat="1" applyFont="1" applyFill="1" applyBorder="1"/>
    <xf numFmtId="3" fontId="5" fillId="2" borderId="9" xfId="3" applyNumberFormat="1" applyFont="1" applyFill="1" applyBorder="1"/>
    <xf numFmtId="3" fontId="2" fillId="2" borderId="9" xfId="3" applyNumberFormat="1" applyFont="1" applyFill="1" applyBorder="1"/>
    <xf numFmtId="9" fontId="2" fillId="2" borderId="9" xfId="2" applyFont="1" applyFill="1" applyBorder="1"/>
    <xf numFmtId="3" fontId="8" fillId="2" borderId="9" xfId="3" applyNumberFormat="1" applyFont="1" applyFill="1" applyBorder="1"/>
    <xf numFmtId="9" fontId="8" fillId="2" borderId="9" xfId="4" applyFont="1" applyFill="1" applyBorder="1"/>
    <xf numFmtId="9" fontId="8" fillId="2" borderId="9" xfId="4" applyFont="1" applyFill="1" applyBorder="1" applyAlignment="1">
      <alignment wrapText="1"/>
    </xf>
    <xf numFmtId="0" fontId="2" fillId="0" borderId="7" xfId="3" applyFont="1" applyBorder="1" applyAlignment="1">
      <alignment horizontal="left" indent="2"/>
    </xf>
    <xf numFmtId="0" fontId="2" fillId="4" borderId="7" xfId="3" applyFont="1" applyFill="1" applyBorder="1" applyAlignment="1">
      <alignment horizontal="left" indent="2"/>
    </xf>
    <xf numFmtId="0" fontId="2" fillId="4" borderId="8" xfId="3" applyFont="1" applyFill="1" applyBorder="1" applyAlignment="1">
      <alignment horizontal="left" wrapText="1" indent="3"/>
    </xf>
    <xf numFmtId="164" fontId="3" fillId="0" borderId="10" xfId="8" applyNumberFormat="1" applyFont="1" applyFill="1" applyBorder="1"/>
    <xf numFmtId="164" fontId="6" fillId="0" borderId="10" xfId="8" applyNumberFormat="1" applyFont="1" applyFill="1" applyBorder="1"/>
    <xf numFmtId="164" fontId="5" fillId="0" borderId="10" xfId="8" applyNumberFormat="1" applyFont="1" applyFill="1" applyBorder="1"/>
    <xf numFmtId="164" fontId="6" fillId="0" borderId="10" xfId="1" applyNumberFormat="1" applyFont="1" applyFill="1" applyBorder="1"/>
    <xf numFmtId="164" fontId="2" fillId="0" borderId="10" xfId="8" applyNumberFormat="1" applyFont="1" applyFill="1" applyBorder="1"/>
    <xf numFmtId="0" fontId="2" fillId="0" borderId="8" xfId="3" applyFont="1" applyFill="1" applyBorder="1" applyAlignment="1">
      <alignment horizontal="left" wrapText="1" indent="3"/>
    </xf>
    <xf numFmtId="3" fontId="25" fillId="0" borderId="10" xfId="3" applyNumberFormat="1" applyFont="1" applyFill="1" applyBorder="1"/>
    <xf numFmtId="3" fontId="3" fillId="0" borderId="11" xfId="3" applyNumberFormat="1" applyFont="1" applyFill="1" applyBorder="1"/>
    <xf numFmtId="3" fontId="6" fillId="0" borderId="11" xfId="3" applyNumberFormat="1" applyFont="1" applyFill="1" applyBorder="1"/>
    <xf numFmtId="164" fontId="6" fillId="0" borderId="11" xfId="1" applyNumberFormat="1" applyFont="1" applyFill="1" applyBorder="1"/>
    <xf numFmtId="3" fontId="2" fillId="0" borderId="11" xfId="3" applyNumberFormat="1" applyFont="1" applyFill="1" applyBorder="1"/>
    <xf numFmtId="9" fontId="2" fillId="0" borderId="11" xfId="2" applyFont="1" applyFill="1" applyBorder="1" applyAlignment="1">
      <alignment wrapText="1"/>
    </xf>
    <xf numFmtId="9" fontId="8" fillId="0" borderId="10" xfId="4" applyFont="1" applyFill="1" applyBorder="1" applyAlignment="1">
      <alignment wrapText="1"/>
    </xf>
    <xf numFmtId="3" fontId="5" fillId="0" borderId="11" xfId="3" applyNumberFormat="1" applyFont="1" applyFill="1" applyBorder="1"/>
    <xf numFmtId="0" fontId="3" fillId="0" borderId="0" xfId="3" applyFont="1"/>
    <xf numFmtId="0" fontId="5" fillId="0" borderId="0" xfId="3" applyFont="1"/>
    <xf numFmtId="0" fontId="8" fillId="0" borderId="0" xfId="3" applyFont="1"/>
    <xf numFmtId="0" fontId="38" fillId="0" borderId="0" xfId="3" applyFont="1"/>
    <xf numFmtId="0" fontId="2" fillId="10" borderId="7" xfId="3" applyFont="1" applyFill="1" applyBorder="1" applyAlignment="1">
      <alignment horizontal="left" indent="2"/>
    </xf>
    <xf numFmtId="0" fontId="2" fillId="10" borderId="8" xfId="3" applyFont="1" applyFill="1" applyBorder="1" applyAlignment="1">
      <alignment horizontal="left" wrapText="1" indent="3"/>
    </xf>
    <xf numFmtId="9" fontId="2" fillId="0" borderId="9" xfId="2" applyFont="1" applyFill="1" applyBorder="1" applyAlignment="1"/>
    <xf numFmtId="0" fontId="10" fillId="0" borderId="12" xfId="3" applyFont="1" applyBorder="1"/>
    <xf numFmtId="0" fontId="10" fillId="0" borderId="13" xfId="3" applyFont="1" applyBorder="1" applyAlignment="1">
      <alignment horizontal="right" wrapText="1"/>
    </xf>
    <xf numFmtId="3" fontId="15" fillId="0" borderId="3" xfId="3" applyNumberFormat="1" applyFont="1" applyBorder="1"/>
    <xf numFmtId="3" fontId="17" fillId="0" borderId="3" xfId="3" applyNumberFormat="1" applyFont="1" applyBorder="1"/>
    <xf numFmtId="3" fontId="16" fillId="0" borderId="3" xfId="3" applyNumberFormat="1" applyFont="1" applyBorder="1"/>
    <xf numFmtId="3" fontId="10" fillId="0" borderId="3" xfId="3" applyNumberFormat="1" applyFont="1" applyBorder="1"/>
    <xf numFmtId="9" fontId="10" fillId="0" borderId="3" xfId="2" applyFont="1" applyBorder="1"/>
    <xf numFmtId="3" fontId="13" fillId="0" borderId="3" xfId="3" applyNumberFormat="1" applyFont="1" applyBorder="1"/>
    <xf numFmtId="9" fontId="13" fillId="0" borderId="3" xfId="4" applyFont="1" applyBorder="1"/>
    <xf numFmtId="0" fontId="10" fillId="0" borderId="14" xfId="3" quotePrefix="1" applyFont="1" applyFill="1" applyBorder="1"/>
    <xf numFmtId="0" fontId="10" fillId="0" borderId="15" xfId="3" applyFont="1" applyFill="1" applyBorder="1" applyAlignment="1">
      <alignment wrapText="1"/>
    </xf>
    <xf numFmtId="3" fontId="15" fillId="0" borderId="16" xfId="3" applyNumberFormat="1" applyFont="1" applyFill="1" applyBorder="1"/>
    <xf numFmtId="3" fontId="17" fillId="0" borderId="16" xfId="3" applyNumberFormat="1" applyFont="1" applyFill="1" applyBorder="1"/>
    <xf numFmtId="3" fontId="16" fillId="0" borderId="16" xfId="3" applyNumberFormat="1" applyFont="1" applyFill="1" applyBorder="1"/>
    <xf numFmtId="3" fontId="10" fillId="0" borderId="16" xfId="3" applyNumberFormat="1" applyFont="1" applyFill="1" applyBorder="1"/>
    <xf numFmtId="9" fontId="10" fillId="0" borderId="16" xfId="2" applyFont="1" applyFill="1" applyBorder="1"/>
    <xf numFmtId="3" fontId="13" fillId="0" borderId="16" xfId="3" applyNumberFormat="1" applyFont="1" applyFill="1" applyBorder="1"/>
    <xf numFmtId="9" fontId="13" fillId="0" borderId="16" xfId="4" applyFont="1" applyFill="1" applyBorder="1"/>
    <xf numFmtId="49" fontId="2" fillId="0" borderId="8" xfId="3" applyNumberFormat="1" applyFont="1" applyBorder="1" applyAlignment="1">
      <alignment horizontal="left" wrapText="1" indent="4"/>
    </xf>
    <xf numFmtId="49" fontId="2" fillId="0" borderId="17" xfId="3" applyNumberFormat="1" applyFont="1" applyBorder="1" applyAlignment="1">
      <alignment horizontal="left" wrapText="1" indent="4"/>
    </xf>
    <xf numFmtId="3" fontId="3" fillId="0" borderId="6" xfId="3" applyNumberFormat="1" applyFont="1" applyFill="1" applyBorder="1"/>
    <xf numFmtId="3" fontId="6" fillId="0" borderId="6" xfId="3" applyNumberFormat="1" applyFont="1" applyFill="1" applyBorder="1"/>
    <xf numFmtId="3" fontId="5" fillId="0" borderId="6" xfId="3" applyNumberFormat="1" applyFont="1" applyFill="1" applyBorder="1"/>
    <xf numFmtId="9" fontId="2" fillId="0" borderId="6" xfId="2" applyFont="1" applyFill="1" applyBorder="1"/>
    <xf numFmtId="3" fontId="2" fillId="0" borderId="6" xfId="3" applyNumberFormat="1" applyFont="1" applyFill="1" applyBorder="1"/>
    <xf numFmtId="3" fontId="8" fillId="0" borderId="6" xfId="3" applyNumberFormat="1" applyFont="1" applyFill="1" applyBorder="1"/>
    <xf numFmtId="9" fontId="8" fillId="0" borderId="6" xfId="4" applyFont="1" applyFill="1" applyBorder="1"/>
    <xf numFmtId="0" fontId="2" fillId="4" borderId="4" xfId="3" applyFont="1" applyFill="1" applyBorder="1" applyAlignment="1">
      <alignment horizontal="left" indent="2"/>
    </xf>
    <xf numFmtId="49" fontId="2" fillId="0" borderId="18" xfId="3" applyNumberFormat="1" applyFont="1" applyBorder="1" applyAlignment="1">
      <alignment horizontal="left" wrapText="1" indent="4"/>
    </xf>
    <xf numFmtId="3" fontId="3" fillId="0" borderId="19" xfId="3" applyNumberFormat="1" applyFont="1" applyFill="1" applyBorder="1"/>
    <xf numFmtId="3" fontId="6" fillId="0" borderId="19" xfId="3" applyNumberFormat="1" applyFont="1" applyFill="1" applyBorder="1"/>
    <xf numFmtId="3" fontId="5" fillId="0" borderId="19" xfId="3" applyNumberFormat="1" applyFont="1" applyFill="1" applyBorder="1"/>
    <xf numFmtId="9" fontId="2" fillId="0" borderId="19" xfId="2" applyFont="1" applyFill="1" applyBorder="1"/>
    <xf numFmtId="3" fontId="2" fillId="0" borderId="19" xfId="3" applyNumberFormat="1" applyFont="1" applyFill="1" applyBorder="1"/>
    <xf numFmtId="3" fontId="8" fillId="0" borderId="19" xfId="3" applyNumberFormat="1" applyFont="1" applyFill="1" applyBorder="1"/>
    <xf numFmtId="9" fontId="8" fillId="0" borderId="19" xfId="4" applyFont="1" applyFill="1" applyBorder="1"/>
    <xf numFmtId="0" fontId="4" fillId="0" borderId="0" xfId="3" applyFont="1"/>
    <xf numFmtId="3" fontId="5" fillId="0" borderId="0" xfId="3" applyNumberFormat="1" applyFont="1"/>
    <xf numFmtId="3" fontId="2" fillId="0" borderId="0" xfId="3" applyNumberFormat="1" applyFont="1"/>
    <xf numFmtId="164" fontId="2" fillId="0" borderId="0" xfId="1" applyNumberFormat="1" applyFont="1"/>
    <xf numFmtId="9" fontId="4" fillId="0" borderId="0" xfId="6" applyFont="1"/>
    <xf numFmtId="3" fontId="6" fillId="0" borderId="0" xfId="3" applyNumberFormat="1" applyFont="1"/>
    <xf numFmtId="9" fontId="8" fillId="0" borderId="0" xfId="6" applyFont="1"/>
    <xf numFmtId="10" fontId="3" fillId="0" borderId="0" xfId="9" applyNumberFormat="1" applyFont="1"/>
    <xf numFmtId="10" fontId="4" fillId="0" borderId="0" xfId="9" applyNumberFormat="1" applyFont="1"/>
    <xf numFmtId="10" fontId="5" fillId="0" borderId="0" xfId="9" applyNumberFormat="1" applyFont="1"/>
    <xf numFmtId="10" fontId="6" fillId="0" borderId="0" xfId="9" applyNumberFormat="1" applyFont="1"/>
    <xf numFmtId="10" fontId="2" fillId="0" borderId="0" xfId="9" applyNumberFormat="1" applyFont="1"/>
    <xf numFmtId="10" fontId="8" fillId="0" borderId="0" xfId="9" applyNumberFormat="1" applyFont="1"/>
    <xf numFmtId="49" fontId="10" fillId="3" borderId="20" xfId="3" applyNumberFormat="1" applyFont="1" applyFill="1" applyBorder="1" applyAlignment="1">
      <alignment horizontal="left" indent="2"/>
    </xf>
    <xf numFmtId="49" fontId="10" fillId="3" borderId="21" xfId="3" applyNumberFormat="1" applyFont="1" applyFill="1" applyBorder="1" applyAlignment="1">
      <alignment wrapText="1"/>
    </xf>
    <xf numFmtId="3" fontId="15" fillId="3" borderId="22" xfId="3" applyNumberFormat="1" applyFont="1" applyFill="1" applyBorder="1"/>
    <xf numFmtId="3" fontId="17" fillId="3" borderId="22" xfId="3" applyNumberFormat="1" applyFont="1" applyFill="1" applyBorder="1"/>
    <xf numFmtId="3" fontId="16" fillId="3" borderId="22" xfId="3" applyNumberFormat="1" applyFont="1" applyFill="1" applyBorder="1"/>
    <xf numFmtId="3" fontId="10" fillId="3" borderId="22" xfId="3" applyNumberFormat="1" applyFont="1" applyFill="1" applyBorder="1"/>
    <xf numFmtId="9" fontId="10" fillId="3" borderId="22" xfId="2" applyFont="1" applyFill="1" applyBorder="1"/>
    <xf numFmtId="3" fontId="13" fillId="3" borderId="22" xfId="3" applyNumberFormat="1" applyFont="1" applyFill="1" applyBorder="1"/>
    <xf numFmtId="9" fontId="13" fillId="3" borderId="22" xfId="4" applyFont="1" applyFill="1" applyBorder="1"/>
    <xf numFmtId="9" fontId="10" fillId="0" borderId="0" xfId="2" applyFont="1"/>
    <xf numFmtId="49" fontId="2" fillId="2" borderId="7" xfId="3" applyNumberFormat="1" applyFont="1" applyFill="1" applyBorder="1" applyAlignment="1">
      <alignment horizontal="left" indent="1"/>
    </xf>
    <xf numFmtId="49" fontId="2" fillId="2" borderId="8" xfId="3" applyNumberFormat="1" applyFont="1" applyFill="1" applyBorder="1" applyAlignment="1">
      <alignment horizontal="left" wrapText="1" indent="2"/>
    </xf>
    <xf numFmtId="9" fontId="22" fillId="2" borderId="9" xfId="2" applyFont="1" applyFill="1" applyBorder="1" applyAlignment="1">
      <alignment wrapText="1"/>
    </xf>
    <xf numFmtId="9" fontId="2" fillId="2" borderId="9" xfId="2" applyFont="1" applyFill="1" applyBorder="1" applyAlignment="1">
      <alignment wrapText="1"/>
    </xf>
    <xf numFmtId="49" fontId="10" fillId="3" borderId="7" xfId="3" applyNumberFormat="1" applyFont="1" applyFill="1" applyBorder="1"/>
    <xf numFmtId="49" fontId="10" fillId="3" borderId="8" xfId="3" applyNumberFormat="1" applyFont="1" applyFill="1" applyBorder="1" applyAlignment="1">
      <alignment wrapText="1"/>
    </xf>
    <xf numFmtId="49" fontId="10" fillId="2" borderId="8" xfId="3" applyNumberFormat="1" applyFont="1" applyFill="1" applyBorder="1" applyAlignment="1">
      <alignment horizontal="left" wrapText="1" indent="2"/>
    </xf>
    <xf numFmtId="3" fontId="15" fillId="2" borderId="9" xfId="3" applyNumberFormat="1" applyFont="1" applyFill="1" applyBorder="1"/>
    <xf numFmtId="3" fontId="16" fillId="2" borderId="9" xfId="3" applyNumberFormat="1" applyFont="1" applyFill="1" applyBorder="1"/>
    <xf numFmtId="3" fontId="17" fillId="2" borderId="9" xfId="3" applyNumberFormat="1" applyFont="1" applyFill="1" applyBorder="1"/>
    <xf numFmtId="3" fontId="10" fillId="2" borderId="9" xfId="3" applyNumberFormat="1" applyFont="1" applyFill="1" applyBorder="1"/>
    <xf numFmtId="9" fontId="39" fillId="2" borderId="9" xfId="2" applyFont="1" applyFill="1" applyBorder="1" applyAlignment="1">
      <alignment wrapText="1"/>
    </xf>
    <xf numFmtId="3" fontId="13" fillId="2" borderId="9" xfId="3" applyNumberFormat="1" applyFont="1" applyFill="1" applyBorder="1"/>
    <xf numFmtId="9" fontId="13" fillId="2" borderId="9" xfId="4" applyFont="1" applyFill="1" applyBorder="1"/>
    <xf numFmtId="9" fontId="10" fillId="2" borderId="9" xfId="2" applyFont="1" applyFill="1" applyBorder="1"/>
    <xf numFmtId="49" fontId="2" fillId="0" borderId="7" xfId="3" applyNumberFormat="1" applyFont="1" applyBorder="1" applyAlignment="1">
      <alignment horizontal="left" indent="2"/>
    </xf>
    <xf numFmtId="9" fontId="8" fillId="0" borderId="9" xfId="4" applyFont="1" applyBorder="1" applyAlignment="1">
      <alignment wrapText="1"/>
    </xf>
    <xf numFmtId="3" fontId="3" fillId="0" borderId="11" xfId="3" applyNumberFormat="1" applyFont="1" applyBorder="1"/>
    <xf numFmtId="9" fontId="2" fillId="0" borderId="10" xfId="2" applyFont="1" applyBorder="1"/>
    <xf numFmtId="3" fontId="10" fillId="0" borderId="0" xfId="2" applyNumberFormat="1" applyFont="1"/>
    <xf numFmtId="49" fontId="2" fillId="10" borderId="7" xfId="3" applyNumberFormat="1" applyFont="1" applyFill="1" applyBorder="1" applyAlignment="1">
      <alignment horizontal="left" indent="2"/>
    </xf>
    <xf numFmtId="49" fontId="18" fillId="10" borderId="8" xfId="3" applyNumberFormat="1" applyFont="1" applyFill="1" applyBorder="1" applyAlignment="1">
      <alignment horizontal="left" wrapText="1" indent="4"/>
    </xf>
    <xf numFmtId="3" fontId="3" fillId="10" borderId="10" xfId="3" applyNumberFormat="1" applyFont="1" applyFill="1" applyBorder="1"/>
    <xf numFmtId="9" fontId="2" fillId="10" borderId="9" xfId="2" applyFont="1" applyFill="1" applyBorder="1" applyAlignment="1">
      <alignment wrapText="1"/>
    </xf>
    <xf numFmtId="9" fontId="2" fillId="10" borderId="10" xfId="2" applyFont="1" applyFill="1" applyBorder="1" applyAlignment="1">
      <alignment wrapText="1"/>
    </xf>
    <xf numFmtId="9" fontId="8" fillId="10" borderId="9" xfId="4" applyFont="1" applyFill="1" applyBorder="1" applyAlignment="1">
      <alignment wrapText="1"/>
    </xf>
    <xf numFmtId="3" fontId="3" fillId="10" borderId="23" xfId="3" applyNumberFormat="1" applyFont="1" applyFill="1" applyBorder="1"/>
    <xf numFmtId="3" fontId="6" fillId="10" borderId="6" xfId="3" applyNumberFormat="1" applyFont="1" applyFill="1" applyBorder="1"/>
    <xf numFmtId="3" fontId="6" fillId="10" borderId="24" xfId="3" applyNumberFormat="1" applyFont="1" applyFill="1" applyBorder="1"/>
    <xf numFmtId="164" fontId="38" fillId="10" borderId="25" xfId="1" applyNumberFormat="1" applyFont="1" applyFill="1" applyBorder="1"/>
    <xf numFmtId="0" fontId="18" fillId="10" borderId="26" xfId="3" applyFont="1" applyFill="1" applyBorder="1"/>
    <xf numFmtId="0" fontId="18" fillId="10" borderId="27" xfId="3" applyFont="1" applyFill="1" applyBorder="1"/>
    <xf numFmtId="0" fontId="18" fillId="10" borderId="0" xfId="3" applyFont="1" applyFill="1"/>
    <xf numFmtId="49" fontId="2" fillId="10" borderId="4" xfId="3" applyNumberFormat="1" applyFont="1" applyFill="1" applyBorder="1" applyAlignment="1">
      <alignment horizontal="left" indent="2"/>
    </xf>
    <xf numFmtId="49" fontId="2" fillId="10" borderId="5" xfId="3" applyNumberFormat="1" applyFont="1" applyFill="1" applyBorder="1" applyAlignment="1">
      <alignment horizontal="left" wrapText="1" indent="4"/>
    </xf>
    <xf numFmtId="3" fontId="3" fillId="10" borderId="6" xfId="3" applyNumberFormat="1" applyFont="1" applyFill="1" applyBorder="1"/>
    <xf numFmtId="164" fontId="10" fillId="10" borderId="28" xfId="1" applyNumberFormat="1" applyFont="1" applyFill="1" applyBorder="1"/>
    <xf numFmtId="0" fontId="2" fillId="10" borderId="0" xfId="3" applyFont="1" applyFill="1" applyBorder="1"/>
    <xf numFmtId="0" fontId="2" fillId="10" borderId="29" xfId="3" applyFont="1" applyFill="1" applyBorder="1"/>
    <xf numFmtId="49" fontId="2" fillId="10" borderId="8" xfId="3" applyNumberFormat="1" applyFont="1" applyFill="1" applyBorder="1" applyAlignment="1">
      <alignment horizontal="left" wrapText="1" indent="4"/>
    </xf>
    <xf numFmtId="3" fontId="6" fillId="10" borderId="11" xfId="3" applyNumberFormat="1" applyFont="1" applyFill="1" applyBorder="1"/>
    <xf numFmtId="9" fontId="2" fillId="10" borderId="10" xfId="2" applyFont="1" applyFill="1" applyBorder="1"/>
    <xf numFmtId="3" fontId="6" fillId="10" borderId="10" xfId="3" applyNumberFormat="1" applyFont="1" applyFill="1" applyBorder="1"/>
    <xf numFmtId="164" fontId="10" fillId="10" borderId="30" xfId="1" applyNumberFormat="1" applyFont="1" applyFill="1" applyBorder="1"/>
    <xf numFmtId="0" fontId="2" fillId="10" borderId="31" xfId="3" applyFont="1" applyFill="1" applyBorder="1"/>
    <xf numFmtId="0" fontId="2" fillId="10" borderId="32" xfId="3" applyFont="1" applyFill="1" applyBorder="1"/>
    <xf numFmtId="9" fontId="2" fillId="0" borderId="33" xfId="2" applyFont="1" applyBorder="1" applyAlignment="1">
      <alignment wrapText="1"/>
    </xf>
    <xf numFmtId="9" fontId="2" fillId="0" borderId="10" xfId="2" applyFont="1" applyBorder="1" applyAlignment="1">
      <alignment wrapText="1"/>
    </xf>
    <xf numFmtId="3" fontId="8" fillId="0" borderId="10" xfId="3" applyNumberFormat="1" applyFont="1" applyBorder="1"/>
    <xf numFmtId="164" fontId="10" fillId="0" borderId="0" xfId="3" applyNumberFormat="1" applyFont="1"/>
    <xf numFmtId="9" fontId="2" fillId="0" borderId="33" xfId="2" applyFont="1" applyBorder="1"/>
    <xf numFmtId="0" fontId="2" fillId="12" borderId="8" xfId="3" applyFont="1" applyFill="1" applyBorder="1" applyAlignment="1">
      <alignment horizontal="left" wrapText="1" indent="3"/>
    </xf>
    <xf numFmtId="3" fontId="10" fillId="13" borderId="9" xfId="3" applyNumberFormat="1" applyFont="1" applyFill="1" applyBorder="1"/>
    <xf numFmtId="3" fontId="16" fillId="13" borderId="9" xfId="3" applyNumberFormat="1" applyFont="1" applyFill="1" applyBorder="1"/>
    <xf numFmtId="9" fontId="22" fillId="2" borderId="10" xfId="2" applyFont="1" applyFill="1" applyBorder="1" applyAlignment="1">
      <alignment wrapText="1"/>
    </xf>
    <xf numFmtId="9" fontId="2" fillId="11" borderId="10" xfId="2" applyFont="1" applyFill="1" applyBorder="1" applyAlignment="1">
      <alignment wrapText="1"/>
    </xf>
    <xf numFmtId="3" fontId="8" fillId="0" borderId="11" xfId="3" applyNumberFormat="1" applyFont="1" applyBorder="1"/>
    <xf numFmtId="3" fontId="40" fillId="3" borderId="9" xfId="3" applyNumberFormat="1" applyFont="1" applyFill="1" applyBorder="1"/>
    <xf numFmtId="3" fontId="41" fillId="2" borderId="9" xfId="3" applyNumberFormat="1" applyFont="1" applyFill="1" applyBorder="1"/>
    <xf numFmtId="9" fontId="24" fillId="2" borderId="9" xfId="2" applyFont="1" applyFill="1" applyBorder="1" applyAlignment="1">
      <alignment wrapText="1"/>
    </xf>
    <xf numFmtId="165" fontId="10" fillId="0" borderId="0" xfId="2" applyNumberFormat="1" applyFont="1"/>
    <xf numFmtId="165" fontId="2" fillId="0" borderId="0" xfId="2" applyNumberFormat="1" applyFont="1"/>
    <xf numFmtId="0" fontId="18" fillId="12" borderId="0" xfId="3" applyFont="1" applyFill="1"/>
    <xf numFmtId="0" fontId="18" fillId="12" borderId="8" xfId="3" applyFont="1" applyFill="1" applyBorder="1" applyAlignment="1">
      <alignment horizontal="left" indent="2"/>
    </xf>
    <xf numFmtId="0" fontId="18" fillId="12" borderId="34" xfId="3" applyFont="1" applyFill="1" applyBorder="1" applyAlignment="1">
      <alignment horizontal="left" indent="3"/>
    </xf>
    <xf numFmtId="3" fontId="3" fillId="12" borderId="9" xfId="3" applyNumberFormat="1" applyFont="1" applyFill="1" applyBorder="1"/>
    <xf numFmtId="3" fontId="2" fillId="12" borderId="9" xfId="3" applyNumberFormat="1" applyFont="1" applyFill="1" applyBorder="1"/>
    <xf numFmtId="3" fontId="5" fillId="12" borderId="9" xfId="3" applyNumberFormat="1" applyFont="1" applyFill="1" applyBorder="1"/>
    <xf numFmtId="3" fontId="6" fillId="12" borderId="9" xfId="3" applyNumberFormat="1" applyFont="1" applyFill="1" applyBorder="1"/>
    <xf numFmtId="9" fontId="22" fillId="12" borderId="9" xfId="2" applyFont="1" applyFill="1" applyBorder="1" applyAlignment="1">
      <alignment wrapText="1"/>
    </xf>
    <xf numFmtId="3" fontId="8" fillId="12" borderId="9" xfId="3" applyNumberFormat="1" applyFont="1" applyFill="1" applyBorder="1"/>
    <xf numFmtId="9" fontId="8" fillId="12" borderId="9" xfId="4" applyFont="1" applyFill="1" applyBorder="1"/>
    <xf numFmtId="0" fontId="38" fillId="12" borderId="0" xfId="3" applyFont="1" applyFill="1"/>
    <xf numFmtId="9" fontId="2" fillId="12" borderId="9" xfId="2" applyFont="1" applyFill="1" applyBorder="1"/>
    <xf numFmtId="0" fontId="2" fillId="0" borderId="0" xfId="3" applyFont="1" applyAlignment="1">
      <alignment horizontal="right"/>
    </xf>
    <xf numFmtId="3" fontId="26" fillId="4" borderId="9" xfId="3" applyNumberFormat="1" applyFont="1" applyFill="1" applyBorder="1"/>
    <xf numFmtId="3" fontId="5" fillId="4" borderId="9" xfId="3" applyNumberFormat="1" applyFont="1" applyFill="1" applyBorder="1"/>
    <xf numFmtId="3" fontId="2" fillId="4" borderId="9" xfId="3" applyNumberFormat="1" applyFont="1" applyFill="1" applyBorder="1"/>
    <xf numFmtId="9" fontId="2" fillId="4" borderId="9" xfId="2" applyFont="1" applyFill="1" applyBorder="1"/>
    <xf numFmtId="0" fontId="26" fillId="0" borderId="0" xfId="3" applyFont="1"/>
    <xf numFmtId="9" fontId="24" fillId="0" borderId="9" xfId="2" applyFont="1" applyFill="1" applyBorder="1" applyAlignment="1">
      <alignment wrapText="1"/>
    </xf>
    <xf numFmtId="3" fontId="21" fillId="0" borderId="9" xfId="3" applyNumberFormat="1" applyFont="1" applyFill="1" applyBorder="1"/>
    <xf numFmtId="3" fontId="33" fillId="0" borderId="9" xfId="3" applyNumberFormat="1" applyFont="1" applyFill="1" applyBorder="1"/>
    <xf numFmtId="3" fontId="32" fillId="0" borderId="9" xfId="3" applyNumberFormat="1" applyFont="1" applyFill="1" applyBorder="1"/>
    <xf numFmtId="3" fontId="20" fillId="0" borderId="9" xfId="3" applyNumberFormat="1" applyFont="1" applyFill="1" applyBorder="1"/>
    <xf numFmtId="9" fontId="20" fillId="0" borderId="9" xfId="2" applyFont="1" applyFill="1" applyBorder="1"/>
    <xf numFmtId="3" fontId="34" fillId="0" borderId="9" xfId="3" applyNumberFormat="1" applyFont="1" applyFill="1" applyBorder="1"/>
    <xf numFmtId="9" fontId="34" fillId="0" borderId="9" xfId="4" applyFont="1" applyFill="1" applyBorder="1"/>
    <xf numFmtId="3" fontId="6" fillId="5" borderId="0" xfId="3" applyNumberFormat="1" applyFont="1" applyFill="1" applyBorder="1"/>
    <xf numFmtId="3" fontId="26" fillId="0" borderId="9" xfId="3" applyNumberFormat="1" applyFont="1" applyFill="1" applyBorder="1"/>
    <xf numFmtId="49" fontId="2" fillId="4" borderId="7" xfId="3" applyNumberFormat="1" applyFont="1" applyFill="1" applyBorder="1" applyAlignment="1">
      <alignment horizontal="left" indent="2"/>
    </xf>
    <xf numFmtId="49" fontId="10" fillId="4" borderId="8" xfId="3" applyNumberFormat="1" applyFont="1" applyFill="1" applyBorder="1" applyAlignment="1">
      <alignment horizontal="left" wrapText="1" indent="2"/>
    </xf>
    <xf numFmtId="3" fontId="3" fillId="4" borderId="9" xfId="3" applyNumberFormat="1" applyFont="1" applyFill="1" applyBorder="1"/>
    <xf numFmtId="0" fontId="10" fillId="4" borderId="0" xfId="3" applyFont="1" applyFill="1"/>
    <xf numFmtId="0" fontId="2" fillId="4" borderId="0" xfId="3" applyFont="1" applyFill="1"/>
    <xf numFmtId="49" fontId="2" fillId="4" borderId="8" xfId="3" applyNumberFormat="1" applyFont="1" applyFill="1" applyBorder="1" applyAlignment="1">
      <alignment horizontal="left" wrapText="1" indent="4"/>
    </xf>
    <xf numFmtId="9" fontId="2" fillId="4" borderId="0" xfId="2" applyFont="1" applyFill="1"/>
    <xf numFmtId="49" fontId="10" fillId="2" borderId="7" xfId="3" applyNumberFormat="1" applyFont="1" applyFill="1" applyBorder="1" applyAlignment="1">
      <alignment horizontal="left" indent="1"/>
    </xf>
    <xf numFmtId="49" fontId="6" fillId="0" borderId="7" xfId="3" applyNumberFormat="1" applyFont="1" applyBorder="1" applyAlignment="1">
      <alignment horizontal="left" indent="2"/>
    </xf>
    <xf numFmtId="3" fontId="42" fillId="0" borderId="9" xfId="3" applyNumberFormat="1" applyFont="1" applyFill="1" applyBorder="1"/>
    <xf numFmtId="3" fontId="10" fillId="0" borderId="9" xfId="3" applyNumberFormat="1" applyFont="1" applyFill="1" applyBorder="1"/>
    <xf numFmtId="49" fontId="17" fillId="0" borderId="8" xfId="3" applyNumberFormat="1" applyFont="1" applyFill="1" applyBorder="1" applyAlignment="1">
      <alignment horizontal="left" wrapText="1" indent="3"/>
    </xf>
    <xf numFmtId="3" fontId="16" fillId="0" borderId="9" xfId="3" applyNumberFormat="1" applyFont="1" applyFill="1" applyBorder="1"/>
    <xf numFmtId="0" fontId="17" fillId="0" borderId="0" xfId="3" applyFont="1"/>
    <xf numFmtId="49" fontId="12" fillId="2" borderId="7" xfId="3" applyNumberFormat="1" applyFont="1" applyFill="1" applyBorder="1" applyAlignment="1">
      <alignment horizontal="left" indent="1"/>
    </xf>
    <xf numFmtId="49" fontId="2" fillId="0" borderId="7" xfId="3" applyNumberFormat="1" applyFont="1" applyFill="1" applyBorder="1" applyAlignment="1">
      <alignment horizontal="left" indent="2"/>
    </xf>
    <xf numFmtId="3" fontId="4" fillId="0" borderId="9" xfId="3" applyNumberFormat="1" applyFont="1" applyFill="1" applyBorder="1"/>
    <xf numFmtId="3" fontId="26" fillId="14" borderId="9" xfId="3" applyNumberFormat="1" applyFont="1" applyFill="1" applyBorder="1"/>
    <xf numFmtId="3" fontId="4" fillId="14" borderId="9" xfId="3" applyNumberFormat="1" applyFont="1" applyFill="1" applyBorder="1"/>
    <xf numFmtId="3" fontId="6" fillId="14" borderId="9" xfId="3" applyNumberFormat="1" applyFont="1" applyFill="1" applyBorder="1"/>
    <xf numFmtId="3" fontId="2" fillId="14" borderId="9" xfId="3" applyNumberFormat="1" applyFont="1" applyFill="1" applyBorder="1"/>
    <xf numFmtId="9" fontId="2" fillId="14" borderId="9" xfId="2" applyFont="1" applyFill="1" applyBorder="1"/>
    <xf numFmtId="9" fontId="8" fillId="14" borderId="9" xfId="4" applyFont="1" applyFill="1" applyBorder="1"/>
    <xf numFmtId="0" fontId="10" fillId="14" borderId="0" xfId="3" applyFont="1" applyFill="1"/>
    <xf numFmtId="0" fontId="2" fillId="14" borderId="0" xfId="3" applyFont="1" applyFill="1"/>
    <xf numFmtId="164" fontId="8" fillId="0" borderId="0" xfId="1" applyNumberFormat="1" applyFont="1"/>
    <xf numFmtId="49" fontId="10" fillId="0" borderId="12" xfId="3" applyNumberFormat="1" applyFont="1" applyBorder="1"/>
    <xf numFmtId="49" fontId="10" fillId="0" borderId="13" xfId="3" applyNumberFormat="1" applyFont="1" applyBorder="1" applyAlignment="1">
      <alignment horizontal="right" wrapText="1"/>
    </xf>
    <xf numFmtId="3" fontId="15" fillId="0" borderId="35" xfId="3" applyNumberFormat="1" applyFont="1" applyBorder="1"/>
    <xf numFmtId="3" fontId="17" fillId="0" borderId="35" xfId="3" applyNumberFormat="1" applyFont="1" applyBorder="1"/>
    <xf numFmtId="3" fontId="16" fillId="0" borderId="35" xfId="3" applyNumberFormat="1" applyFont="1" applyBorder="1"/>
    <xf numFmtId="3" fontId="10" fillId="0" borderId="35" xfId="3" applyNumberFormat="1" applyFont="1" applyBorder="1"/>
    <xf numFmtId="9" fontId="10" fillId="0" borderId="35" xfId="2" applyFont="1" applyBorder="1"/>
    <xf numFmtId="3" fontId="13" fillId="0" borderId="35" xfId="3" applyNumberFormat="1" applyFont="1" applyBorder="1"/>
    <xf numFmtId="9" fontId="13" fillId="0" borderId="35" xfId="4" applyFont="1" applyBorder="1"/>
    <xf numFmtId="9" fontId="2" fillId="3" borderId="9" xfId="2" applyFont="1" applyFill="1" applyBorder="1" applyAlignment="1">
      <alignment wrapText="1"/>
    </xf>
    <xf numFmtId="3" fontId="3" fillId="14" borderId="9" xfId="3" applyNumberFormat="1" applyFont="1" applyFill="1" applyBorder="1"/>
    <xf numFmtId="3" fontId="5" fillId="14" borderId="9" xfId="3" applyNumberFormat="1" applyFont="1" applyFill="1" applyBorder="1"/>
    <xf numFmtId="3" fontId="8" fillId="14" borderId="9" xfId="3" applyNumberFormat="1" applyFont="1" applyFill="1" applyBorder="1"/>
    <xf numFmtId="3" fontId="15" fillId="0" borderId="36" xfId="3" applyNumberFormat="1" applyFont="1" applyBorder="1"/>
    <xf numFmtId="3" fontId="17" fillId="0" borderId="36" xfId="3" applyNumberFormat="1" applyFont="1" applyBorder="1"/>
    <xf numFmtId="3" fontId="16" fillId="0" borderId="36" xfId="3" applyNumberFormat="1" applyFont="1" applyBorder="1"/>
    <xf numFmtId="3" fontId="10" fillId="0" borderId="36" xfId="3" applyNumberFormat="1" applyFont="1" applyBorder="1"/>
    <xf numFmtId="9" fontId="10" fillId="0" borderId="36" xfId="2" applyFont="1" applyBorder="1"/>
    <xf numFmtId="3" fontId="13" fillId="0" borderId="36" xfId="3" applyNumberFormat="1" applyFont="1" applyBorder="1"/>
    <xf numFmtId="9" fontId="13" fillId="0" borderId="36" xfId="4" applyFont="1" applyBorder="1"/>
    <xf numFmtId="49" fontId="10" fillId="3" borderId="37" xfId="3" applyNumberFormat="1" applyFont="1" applyFill="1" applyBorder="1" applyAlignment="1">
      <alignment horizontal="center"/>
    </xf>
    <xf numFmtId="49" fontId="10" fillId="3" borderId="38" xfId="3" applyNumberFormat="1" applyFont="1" applyFill="1" applyBorder="1" applyAlignment="1">
      <alignment wrapText="1"/>
    </xf>
    <xf numFmtId="3" fontId="15" fillId="3" borderId="39" xfId="3" applyNumberFormat="1" applyFont="1" applyFill="1" applyBorder="1"/>
    <xf numFmtId="3" fontId="17" fillId="3" borderId="39" xfId="3" applyNumberFormat="1" applyFont="1" applyFill="1" applyBorder="1"/>
    <xf numFmtId="3" fontId="16" fillId="3" borderId="39" xfId="3" applyNumberFormat="1" applyFont="1" applyFill="1" applyBorder="1"/>
    <xf numFmtId="3" fontId="10" fillId="3" borderId="39" xfId="3" applyNumberFormat="1" applyFont="1" applyFill="1" applyBorder="1"/>
    <xf numFmtId="9" fontId="10" fillId="3" borderId="39" xfId="2" applyFont="1" applyFill="1" applyBorder="1"/>
    <xf numFmtId="3" fontId="13" fillId="3" borderId="39" xfId="3" applyNumberFormat="1" applyFont="1" applyFill="1" applyBorder="1"/>
    <xf numFmtId="9" fontId="13" fillId="3" borderId="39" xfId="4" applyFont="1" applyFill="1" applyBorder="1"/>
    <xf numFmtId="3" fontId="15" fillId="0" borderId="0" xfId="3" applyNumberFormat="1" applyFont="1"/>
    <xf numFmtId="3" fontId="36" fillId="0" borderId="0" xfId="3" applyNumberFormat="1" applyFont="1"/>
    <xf numFmtId="3" fontId="16" fillId="0" borderId="0" xfId="3" applyNumberFormat="1" applyFont="1"/>
    <xf numFmtId="3" fontId="17" fillId="0" borderId="0" xfId="3" applyNumberFormat="1" applyFont="1"/>
    <xf numFmtId="3" fontId="13" fillId="0" borderId="0" xfId="3" applyNumberFormat="1" applyFont="1"/>
    <xf numFmtId="9" fontId="13" fillId="0" borderId="0" xfId="4" applyFont="1"/>
    <xf numFmtId="0" fontId="51" fillId="0" borderId="0" xfId="3" applyFont="1" applyFill="1"/>
    <xf numFmtId="0" fontId="52" fillId="0" borderId="0" xfId="3" applyFont="1" applyFill="1" applyAlignment="1">
      <alignment wrapText="1"/>
    </xf>
    <xf numFmtId="0" fontId="48" fillId="0" borderId="0" xfId="10" applyFont="1" applyFill="1" applyBorder="1"/>
    <xf numFmtId="0" fontId="48" fillId="0" borderId="0" xfId="10" applyFont="1" applyFill="1"/>
    <xf numFmtId="0" fontId="48" fillId="0" borderId="0" xfId="10" applyNumberFormat="1" applyFont="1" applyFill="1" applyBorder="1" applyProtection="1">
      <protection locked="0"/>
    </xf>
    <xf numFmtId="0" fontId="48" fillId="0" borderId="0" xfId="10" applyFont="1" applyFill="1" applyProtection="1">
      <protection locked="0"/>
    </xf>
    <xf numFmtId="49" fontId="2" fillId="0" borderId="40" xfId="10" applyNumberFormat="1" applyFont="1" applyFill="1" applyBorder="1" applyAlignment="1" applyProtection="1">
      <alignment horizontal="center" vertical="center"/>
      <protection locked="0"/>
    </xf>
    <xf numFmtId="0" fontId="2" fillId="0" borderId="0" xfId="10" applyNumberFormat="1" applyFont="1" applyFill="1" applyBorder="1" applyProtection="1">
      <protection locked="0"/>
    </xf>
    <xf numFmtId="0" fontId="2" fillId="0" borderId="0" xfId="10" applyFont="1" applyFill="1" applyProtection="1">
      <protection locked="0"/>
    </xf>
    <xf numFmtId="49" fontId="2" fillId="0" borderId="40" xfId="10" applyNumberFormat="1" applyFont="1" applyFill="1" applyBorder="1" applyAlignment="1" applyProtection="1">
      <alignment horizontal="center" vertical="center" wrapText="1"/>
      <protection locked="0"/>
    </xf>
    <xf numFmtId="49" fontId="48" fillId="0" borderId="0" xfId="10" applyNumberFormat="1" applyFont="1" applyFill="1" applyBorder="1" applyAlignment="1">
      <alignment horizontal="center" vertical="center" wrapText="1"/>
    </xf>
    <xf numFmtId="49" fontId="48" fillId="0" borderId="0" xfId="10" applyNumberFormat="1" applyFont="1" applyFill="1" applyBorder="1" applyAlignment="1">
      <alignment vertical="top" wrapText="1"/>
    </xf>
    <xf numFmtId="49" fontId="48" fillId="0" borderId="0" xfId="10" applyNumberFormat="1" applyFont="1" applyFill="1" applyBorder="1" applyAlignment="1">
      <alignment horizontal="center" vertical="top" wrapText="1"/>
    </xf>
    <xf numFmtId="0" fontId="2" fillId="0" borderId="0" xfId="10" applyFont="1" applyFill="1" applyBorder="1" applyAlignment="1" applyProtection="1">
      <alignment vertical="center"/>
      <protection locked="0"/>
    </xf>
    <xf numFmtId="0" fontId="10" fillId="0" borderId="0" xfId="10" applyNumberFormat="1" applyFont="1" applyFill="1" applyBorder="1" applyAlignment="1" applyProtection="1">
      <alignment vertical="top"/>
      <protection locked="0"/>
    </xf>
    <xf numFmtId="0" fontId="2" fillId="0" borderId="0" xfId="10" applyNumberFormat="1" applyFont="1" applyFill="1" applyBorder="1" applyAlignment="1" applyProtection="1">
      <alignment horizontal="right" vertical="center" wrapText="1"/>
      <protection locked="0"/>
    </xf>
    <xf numFmtId="0" fontId="2" fillId="0" borderId="0" xfId="10" applyFont="1" applyFill="1" applyBorder="1" applyAlignment="1">
      <alignment vertical="center"/>
    </xf>
    <xf numFmtId="0" fontId="2" fillId="0" borderId="0" xfId="10" applyFont="1" applyFill="1" applyBorder="1"/>
    <xf numFmtId="0" fontId="2" fillId="0" borderId="0" xfId="10" applyNumberFormat="1" applyFont="1" applyFill="1" applyBorder="1" applyAlignment="1">
      <alignment horizontal="right" vertical="center"/>
    </xf>
    <xf numFmtId="0" fontId="54" fillId="0" borderId="0" xfId="10" applyFont="1" applyFill="1" applyBorder="1" applyAlignment="1">
      <alignment horizontal="right"/>
    </xf>
    <xf numFmtId="0" fontId="2" fillId="0" borderId="41" xfId="10" applyNumberFormat="1" applyFont="1" applyFill="1" applyBorder="1"/>
    <xf numFmtId="49" fontId="20" fillId="15" borderId="40" xfId="10" applyNumberFormat="1" applyFont="1" applyFill="1" applyBorder="1" applyAlignment="1">
      <alignment horizontal="center" vertical="center" wrapText="1"/>
    </xf>
    <xf numFmtId="0" fontId="20" fillId="15" borderId="40" xfId="10" applyNumberFormat="1" applyFont="1" applyFill="1" applyBorder="1" applyAlignment="1">
      <alignment horizontal="center" vertical="center" wrapText="1"/>
    </xf>
    <xf numFmtId="0" fontId="2" fillId="0" borderId="42" xfId="10" applyNumberFormat="1" applyFont="1" applyFill="1" applyBorder="1" applyAlignment="1">
      <alignment horizontal="center" vertical="center" wrapText="1"/>
    </xf>
    <xf numFmtId="49" fontId="20" fillId="15" borderId="40" xfId="10" applyNumberFormat="1" applyFont="1" applyFill="1" applyBorder="1" applyAlignment="1">
      <alignment horizontal="center" vertical="center"/>
    </xf>
    <xf numFmtId="0" fontId="20" fillId="15" borderId="40" xfId="10" applyNumberFormat="1" applyFont="1" applyFill="1" applyBorder="1" applyAlignment="1">
      <alignment horizontal="center" vertical="center"/>
    </xf>
    <xf numFmtId="0" fontId="2" fillId="0" borderId="42" xfId="10" applyNumberFormat="1" applyFont="1" applyFill="1" applyBorder="1" applyAlignment="1">
      <alignment horizontal="center"/>
    </xf>
    <xf numFmtId="49" fontId="35" fillId="15" borderId="40" xfId="10" applyNumberFormat="1" applyFont="1" applyFill="1" applyBorder="1" applyAlignment="1">
      <alignment vertical="center"/>
    </xf>
    <xf numFmtId="0" fontId="35" fillId="15" borderId="40" xfId="10" applyNumberFormat="1" applyFont="1" applyFill="1" applyBorder="1" applyAlignment="1">
      <alignment horizontal="left" vertical="center" wrapText="1"/>
    </xf>
    <xf numFmtId="3" fontId="35" fillId="15" borderId="40" xfId="10" applyNumberFormat="1" applyFont="1" applyFill="1" applyBorder="1" applyAlignment="1">
      <alignment horizontal="right" vertical="center"/>
    </xf>
    <xf numFmtId="4" fontId="35" fillId="15" borderId="40" xfId="10" applyNumberFormat="1" applyFont="1" applyFill="1" applyBorder="1" applyAlignment="1">
      <alignment horizontal="right" vertical="center"/>
    </xf>
    <xf numFmtId="3" fontId="2" fillId="0" borderId="42" xfId="10" applyNumberFormat="1" applyFont="1" applyFill="1" applyBorder="1" applyAlignment="1">
      <alignment horizontal="center"/>
    </xf>
    <xf numFmtId="3" fontId="48" fillId="0" borderId="0" xfId="10" applyNumberFormat="1" applyFont="1" applyFill="1"/>
    <xf numFmtId="0" fontId="35" fillId="15" borderId="40" xfId="10" applyNumberFormat="1" applyFont="1" applyFill="1" applyBorder="1" applyAlignment="1">
      <alignment horizontal="left" vertical="center" wrapText="1" indent="1"/>
    </xf>
    <xf numFmtId="49" fontId="20" fillId="15" borderId="40" xfId="10" applyNumberFormat="1" applyFont="1" applyFill="1" applyBorder="1" applyAlignment="1">
      <alignment vertical="center"/>
    </xf>
    <xf numFmtId="0" fontId="20" fillId="15" borderId="40" xfId="10" applyNumberFormat="1" applyFont="1" applyFill="1" applyBorder="1" applyAlignment="1">
      <alignment horizontal="left" vertical="center" wrapText="1" indent="2"/>
    </xf>
    <xf numFmtId="3" fontId="20" fillId="15" borderId="40" xfId="10" applyNumberFormat="1" applyFont="1" applyFill="1" applyBorder="1" applyAlignment="1">
      <alignment horizontal="right" vertical="center"/>
    </xf>
    <xf numFmtId="4" fontId="20" fillId="15" borderId="40" xfId="10" applyNumberFormat="1" applyFont="1" applyFill="1" applyBorder="1" applyAlignment="1">
      <alignment horizontal="right" vertical="center"/>
    </xf>
    <xf numFmtId="0" fontId="35" fillId="15" borderId="40" xfId="10" applyNumberFormat="1" applyFont="1" applyFill="1" applyBorder="1" applyAlignment="1">
      <alignment horizontal="left" vertical="center" wrapText="1" indent="3"/>
    </xf>
    <xf numFmtId="3" fontId="10" fillId="0" borderId="42" xfId="10" applyNumberFormat="1" applyFont="1" applyFill="1" applyBorder="1" applyAlignment="1">
      <alignment horizontal="center"/>
    </xf>
    <xf numFmtId="3" fontId="47" fillId="0" borderId="0" xfId="10" applyNumberFormat="1" applyFont="1" applyFill="1"/>
    <xf numFmtId="0" fontId="47" fillId="0" borderId="0" xfId="10" applyFont="1" applyFill="1"/>
    <xf numFmtId="0" fontId="20" fillId="15" borderId="40" xfId="10" applyNumberFormat="1" applyFont="1" applyFill="1" applyBorder="1" applyAlignment="1">
      <alignment horizontal="left" vertical="center" wrapText="1" indent="4"/>
    </xf>
    <xf numFmtId="0" fontId="20" fillId="15" borderId="40" xfId="10" applyNumberFormat="1" applyFont="1" applyFill="1" applyBorder="1" applyAlignment="1">
      <alignment horizontal="left" vertical="center" wrapText="1" indent="5"/>
    </xf>
    <xf numFmtId="0" fontId="20" fillId="15" borderId="40" xfId="10" applyNumberFormat="1" applyFont="1" applyFill="1" applyBorder="1" applyAlignment="1">
      <alignment horizontal="left" vertical="center" wrapText="1" indent="6"/>
    </xf>
    <xf numFmtId="0" fontId="35" fillId="15" borderId="40" xfId="10" applyNumberFormat="1" applyFont="1" applyFill="1" applyBorder="1" applyAlignment="1">
      <alignment horizontal="left" vertical="center" wrapText="1" indent="2"/>
    </xf>
    <xf numFmtId="0" fontId="20" fillId="15" borderId="40" xfId="10" applyNumberFormat="1" applyFont="1" applyFill="1" applyBorder="1" applyAlignment="1">
      <alignment horizontal="left" vertical="center" wrapText="1" indent="3"/>
    </xf>
    <xf numFmtId="49" fontId="20" fillId="16" borderId="40" xfId="10" applyNumberFormat="1" applyFont="1" applyFill="1" applyBorder="1" applyAlignment="1">
      <alignment vertical="center"/>
    </xf>
    <xf numFmtId="0" fontId="20" fillId="16" borderId="40" xfId="10" applyNumberFormat="1" applyFont="1" applyFill="1" applyBorder="1" applyAlignment="1">
      <alignment horizontal="left" vertical="center" wrapText="1" indent="6"/>
    </xf>
    <xf numFmtId="3" fontId="20" fillId="16" borderId="40" xfId="10" applyNumberFormat="1" applyFont="1" applyFill="1" applyBorder="1" applyAlignment="1">
      <alignment horizontal="right" vertical="center"/>
    </xf>
    <xf numFmtId="4" fontId="20" fillId="16" borderId="40" xfId="10" applyNumberFormat="1" applyFont="1" applyFill="1" applyBorder="1" applyAlignment="1">
      <alignment horizontal="right" vertical="center"/>
    </xf>
    <xf numFmtId="49" fontId="20" fillId="17" borderId="40" xfId="10" applyNumberFormat="1" applyFont="1" applyFill="1" applyBorder="1" applyAlignment="1">
      <alignment vertical="center"/>
    </xf>
    <xf numFmtId="0" fontId="20" fillId="17" borderId="40" xfId="10" applyNumberFormat="1" applyFont="1" applyFill="1" applyBorder="1" applyAlignment="1">
      <alignment horizontal="left" vertical="center" wrapText="1" indent="4"/>
    </xf>
    <xf numFmtId="3" fontId="20" fillId="17" borderId="40" xfId="10" applyNumberFormat="1" applyFont="1" applyFill="1" applyBorder="1" applyAlignment="1">
      <alignment horizontal="right" vertical="center"/>
    </xf>
    <xf numFmtId="4" fontId="20" fillId="17" borderId="40" xfId="10" applyNumberFormat="1" applyFont="1" applyFill="1" applyBorder="1" applyAlignment="1">
      <alignment horizontal="right" vertical="center"/>
    </xf>
    <xf numFmtId="49" fontId="35" fillId="0" borderId="40" xfId="10" applyNumberFormat="1" applyFont="1" applyFill="1" applyBorder="1" applyAlignment="1">
      <alignment horizontal="left" vertical="center" wrapText="1"/>
    </xf>
    <xf numFmtId="3" fontId="55" fillId="0" borderId="40" xfId="10" applyNumberFormat="1" applyFont="1" applyFill="1" applyBorder="1" applyAlignment="1">
      <alignment horizontal="right" vertical="center"/>
    </xf>
    <xf numFmtId="2" fontId="35" fillId="15" borderId="40" xfId="10" applyNumberFormat="1" applyFont="1" applyFill="1" applyBorder="1" applyAlignment="1">
      <alignment horizontal="right" vertical="center"/>
    </xf>
    <xf numFmtId="3" fontId="10" fillId="0" borderId="42" xfId="10" applyNumberFormat="1" applyFont="1" applyFill="1" applyBorder="1" applyAlignment="1">
      <alignment horizontal="right" vertical="center"/>
    </xf>
    <xf numFmtId="49" fontId="35" fillId="0" borderId="40" xfId="10" applyNumberFormat="1" applyFont="1" applyFill="1" applyBorder="1" applyAlignment="1">
      <alignment horizontal="left" vertical="center" wrapText="1" indent="1"/>
    </xf>
    <xf numFmtId="3" fontId="35" fillId="0" borderId="40" xfId="10" applyNumberFormat="1" applyFont="1" applyFill="1" applyBorder="1" applyAlignment="1">
      <alignment horizontal="right" vertical="center"/>
    </xf>
    <xf numFmtId="49" fontId="20" fillId="0" borderId="40" xfId="10" applyNumberFormat="1" applyFont="1" applyFill="1" applyBorder="1" applyAlignment="1">
      <alignment horizontal="left" vertical="center" wrapText="1"/>
    </xf>
    <xf numFmtId="49" fontId="20" fillId="0" borderId="40" xfId="10" applyNumberFormat="1" applyFont="1" applyFill="1" applyBorder="1" applyAlignment="1">
      <alignment horizontal="left" vertical="center" wrapText="1" indent="2"/>
    </xf>
    <xf numFmtId="3" fontId="20" fillId="0" borderId="40" xfId="10" applyNumberFormat="1" applyFont="1" applyFill="1" applyBorder="1" applyAlignment="1">
      <alignment horizontal="right" vertical="center"/>
    </xf>
    <xf numFmtId="2" fontId="20" fillId="15" borderId="40" xfId="10" applyNumberFormat="1" applyFont="1" applyFill="1" applyBorder="1" applyAlignment="1">
      <alignment horizontal="right" vertical="center"/>
    </xf>
    <xf numFmtId="3" fontId="10" fillId="0" borderId="0" xfId="10" applyNumberFormat="1" applyFont="1" applyFill="1" applyBorder="1" applyAlignment="1">
      <alignment horizontal="right" vertical="center"/>
    </xf>
    <xf numFmtId="49" fontId="35" fillId="0" borderId="40" xfId="10" applyNumberFormat="1" applyFont="1" applyFill="1" applyBorder="1" applyAlignment="1">
      <alignment horizontal="left" vertical="center" wrapText="1" indent="2"/>
    </xf>
    <xf numFmtId="49" fontId="35" fillId="0" borderId="40" xfId="10" applyNumberFormat="1" applyFont="1" applyFill="1" applyBorder="1" applyAlignment="1">
      <alignment horizontal="left" vertical="center" wrapText="1" indent="3"/>
    </xf>
    <xf numFmtId="49" fontId="20" fillId="0" borderId="40" xfId="10" applyNumberFormat="1" applyFont="1" applyFill="1" applyBorder="1" applyAlignment="1">
      <alignment horizontal="left" vertical="center" wrapText="1" indent="4"/>
    </xf>
    <xf numFmtId="49" fontId="20" fillId="0" borderId="40" xfId="10" applyNumberFormat="1" applyFont="1" applyFill="1" applyBorder="1" applyAlignment="1">
      <alignment horizontal="left" vertical="center" wrapText="1" indent="5"/>
    </xf>
    <xf numFmtId="49" fontId="20" fillId="0" borderId="40" xfId="10" applyNumberFormat="1" applyFont="1" applyFill="1" applyBorder="1" applyAlignment="1">
      <alignment horizontal="left" vertical="center" wrapText="1" indent="6"/>
    </xf>
    <xf numFmtId="49" fontId="20" fillId="0" borderId="40" xfId="10" applyNumberFormat="1" applyFont="1" applyFill="1" applyBorder="1" applyAlignment="1">
      <alignment horizontal="left" vertical="center" wrapText="1" indent="7"/>
    </xf>
    <xf numFmtId="49" fontId="20" fillId="18" borderId="40" xfId="10" applyNumberFormat="1" applyFont="1" applyFill="1" applyBorder="1" applyAlignment="1">
      <alignment horizontal="left" vertical="center" wrapText="1"/>
    </xf>
    <xf numFmtId="49" fontId="20" fillId="18" borderId="40" xfId="10" applyNumberFormat="1" applyFont="1" applyFill="1" applyBorder="1" applyAlignment="1">
      <alignment horizontal="left" vertical="center" wrapText="1" indent="5"/>
    </xf>
    <xf numFmtId="3" fontId="20" fillId="18" borderId="40" xfId="10" applyNumberFormat="1" applyFont="1" applyFill="1" applyBorder="1" applyAlignment="1">
      <alignment horizontal="right" vertical="center"/>
    </xf>
    <xf numFmtId="2" fontId="20" fillId="17" borderId="40" xfId="10" applyNumberFormat="1" applyFont="1" applyFill="1" applyBorder="1" applyAlignment="1">
      <alignment horizontal="right" vertical="center"/>
    </xf>
    <xf numFmtId="49" fontId="35" fillId="0" borderId="40" xfId="10" applyNumberFormat="1" applyFont="1" applyFill="1" applyBorder="1" applyAlignment="1">
      <alignment horizontal="left" vertical="center" wrapText="1" indent="4"/>
    </xf>
    <xf numFmtId="49" fontId="20" fillId="0" borderId="40" xfId="10" applyNumberFormat="1" applyFont="1" applyFill="1" applyBorder="1" applyAlignment="1">
      <alignment horizontal="left" vertical="center" wrapText="1" indent="3"/>
    </xf>
    <xf numFmtId="49" fontId="35" fillId="0" borderId="40" xfId="7" applyNumberFormat="1" applyFont="1" applyFill="1" applyBorder="1" applyAlignment="1">
      <alignment horizontal="left" vertical="center"/>
    </xf>
    <xf numFmtId="3" fontId="35" fillId="0" borderId="40" xfId="7" applyNumberFormat="1" applyFont="1" applyFill="1" applyBorder="1" applyAlignment="1">
      <alignment horizontal="right" vertical="center"/>
    </xf>
    <xf numFmtId="0" fontId="48" fillId="0" borderId="0" xfId="10" applyNumberFormat="1" applyFont="1" applyFill="1" applyAlignment="1">
      <alignment horizontal="right" vertical="center"/>
    </xf>
    <xf numFmtId="2" fontId="35" fillId="0" borderId="40" xfId="10" applyNumberFormat="1" applyFont="1" applyFill="1" applyBorder="1" applyAlignment="1">
      <alignment horizontal="right" vertical="center"/>
    </xf>
    <xf numFmtId="49" fontId="35" fillId="0" borderId="40" xfId="7" applyNumberFormat="1" applyFont="1" applyFill="1" applyBorder="1" applyAlignment="1">
      <alignment horizontal="left" vertical="center" wrapText="1" indent="1"/>
    </xf>
    <xf numFmtId="49" fontId="20" fillId="0" borderId="40" xfId="7" applyNumberFormat="1" applyFont="1" applyFill="1" applyBorder="1" applyAlignment="1">
      <alignment horizontal="left" vertical="center"/>
    </xf>
    <xf numFmtId="49" fontId="20" fillId="0" borderId="40" xfId="7" applyNumberFormat="1" applyFont="1" applyFill="1" applyBorder="1" applyAlignment="1">
      <alignment horizontal="left" vertical="center" wrapText="1" indent="2"/>
    </xf>
    <xf numFmtId="3" fontId="20" fillId="0" borderId="40" xfId="7" applyNumberFormat="1" applyFont="1" applyFill="1" applyBorder="1" applyAlignment="1">
      <alignment horizontal="right" vertical="center"/>
    </xf>
    <xf numFmtId="2" fontId="20" fillId="0" borderId="40" xfId="10" applyNumberFormat="1" applyFont="1" applyFill="1" applyBorder="1" applyAlignment="1">
      <alignment horizontal="right" vertical="center"/>
    </xf>
    <xf numFmtId="49" fontId="20" fillId="0" borderId="40" xfId="7" applyNumberFormat="1" applyFont="1" applyFill="1" applyBorder="1" applyAlignment="1">
      <alignment horizontal="left" wrapText="1" indent="3"/>
    </xf>
    <xf numFmtId="3" fontId="20" fillId="0" borderId="40" xfId="7" applyNumberFormat="1" applyFont="1" applyFill="1" applyBorder="1" applyAlignment="1">
      <alignment horizontal="right" vertical="center" wrapText="1"/>
    </xf>
    <xf numFmtId="49" fontId="35" fillId="0" borderId="40" xfId="7" applyNumberFormat="1" applyFont="1" applyFill="1" applyBorder="1" applyAlignment="1">
      <alignment horizontal="left" vertical="center" indent="1"/>
    </xf>
    <xf numFmtId="49" fontId="20" fillId="19" borderId="40" xfId="7" applyNumberFormat="1" applyFont="1" applyFill="1" applyBorder="1" applyAlignment="1">
      <alignment horizontal="left" vertical="center"/>
    </xf>
    <xf numFmtId="49" fontId="20" fillId="19" borderId="40" xfId="7" applyNumberFormat="1" applyFont="1" applyFill="1" applyBorder="1" applyAlignment="1">
      <alignment horizontal="left" vertical="center" wrapText="1" indent="2"/>
    </xf>
    <xf numFmtId="3" fontId="20" fillId="19" borderId="40" xfId="7" applyNumberFormat="1" applyFont="1" applyFill="1" applyBorder="1" applyAlignment="1">
      <alignment horizontal="right" vertical="center"/>
    </xf>
    <xf numFmtId="2" fontId="20" fillId="19" borderId="40" xfId="10" applyNumberFormat="1" applyFont="1" applyFill="1" applyBorder="1" applyAlignment="1">
      <alignment horizontal="right" vertical="center"/>
    </xf>
    <xf numFmtId="49" fontId="48" fillId="0" borderId="0" xfId="10" applyNumberFormat="1" applyFont="1" applyFill="1" applyAlignment="1">
      <alignment horizontal="center" vertical="center"/>
    </xf>
    <xf numFmtId="49" fontId="48" fillId="0" borderId="0" xfId="10" applyNumberFormat="1" applyFont="1" applyFill="1" applyAlignment="1">
      <alignment vertical="center" wrapText="1"/>
    </xf>
    <xf numFmtId="0" fontId="48" fillId="0" borderId="0" xfId="10" applyNumberFormat="1" applyFont="1" applyFill="1"/>
    <xf numFmtId="49" fontId="35" fillId="0" borderId="0" xfId="7" applyNumberFormat="1" applyFont="1" applyFill="1" applyAlignment="1"/>
    <xf numFmtId="0" fontId="35" fillId="0" borderId="0" xfId="7" applyFont="1" applyFill="1" applyAlignment="1"/>
    <xf numFmtId="49" fontId="20" fillId="0" borderId="40" xfId="10" applyNumberFormat="1" applyFont="1" applyFill="1" applyBorder="1" applyAlignment="1">
      <alignment horizontal="center" vertical="center" wrapText="1"/>
    </xf>
    <xf numFmtId="49" fontId="20" fillId="0" borderId="40" xfId="7" applyNumberFormat="1" applyFont="1" applyFill="1" applyBorder="1" applyAlignment="1">
      <alignment horizontal="center" vertical="center" wrapText="1"/>
    </xf>
    <xf numFmtId="0" fontId="20" fillId="0" borderId="40" xfId="7" applyFont="1" applyFill="1" applyBorder="1" applyAlignment="1">
      <alignment horizontal="center" wrapText="1"/>
    </xf>
    <xf numFmtId="3" fontId="48" fillId="0" borderId="0" xfId="7" applyNumberFormat="1" applyFont="1" applyFill="1" applyBorder="1" applyAlignment="1">
      <alignment horizontal="right"/>
    </xf>
    <xf numFmtId="49" fontId="20" fillId="0" borderId="40" xfId="7" applyNumberFormat="1" applyFont="1" applyFill="1" applyBorder="1" applyAlignment="1">
      <alignment vertical="center"/>
    </xf>
    <xf numFmtId="0" fontId="56" fillId="0" borderId="0" xfId="7" applyFont="1" applyFill="1" applyBorder="1" applyAlignment="1">
      <alignment horizontal="left" vertical="center"/>
    </xf>
    <xf numFmtId="0" fontId="56" fillId="0" borderId="0" xfId="7" applyFont="1" applyFill="1" applyBorder="1" applyAlignment="1">
      <alignment horizontal="left"/>
    </xf>
    <xf numFmtId="0" fontId="20" fillId="0" borderId="0" xfId="7" applyFont="1" applyFill="1" applyBorder="1" applyAlignment="1">
      <alignment horizontal="left"/>
    </xf>
    <xf numFmtId="0" fontId="57" fillId="0" borderId="0" xfId="7" applyFont="1" applyFill="1" applyBorder="1" applyAlignment="1">
      <alignment horizontal="left" vertical="center"/>
    </xf>
    <xf numFmtId="0" fontId="57" fillId="0" borderId="0" xfId="7" applyFont="1" applyFill="1" applyBorder="1" applyAlignment="1"/>
    <xf numFmtId="0" fontId="48" fillId="0" borderId="0" xfId="7" applyFont="1" applyFill="1" applyBorder="1" applyAlignment="1">
      <alignment horizontal="center" vertical="center"/>
    </xf>
    <xf numFmtId="0" fontId="56" fillId="0" borderId="0" xfId="11" applyFont="1" applyFill="1" applyAlignment="1" applyProtection="1">
      <alignment wrapText="1"/>
      <protection locked="0"/>
    </xf>
    <xf numFmtId="0" fontId="48" fillId="0" borderId="0" xfId="7" applyFont="1" applyFill="1" applyAlignment="1" applyProtection="1">
      <alignment horizontal="right"/>
      <protection locked="0"/>
    </xf>
    <xf numFmtId="0" fontId="48" fillId="0" borderId="0" xfId="10" applyNumberFormat="1" applyFont="1" applyFill="1" applyAlignment="1">
      <alignment horizontal="center" vertical="center"/>
    </xf>
    <xf numFmtId="0" fontId="41" fillId="0" borderId="27"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0" xfId="0" applyFont="1" applyBorder="1" applyAlignment="1">
      <alignment vertical="center" wrapText="1"/>
    </xf>
    <xf numFmtId="3" fontId="40" fillId="0" borderId="32" xfId="0" applyNumberFormat="1" applyFont="1" applyBorder="1" applyAlignment="1">
      <alignment horizontal="center" vertical="center" wrapText="1"/>
    </xf>
    <xf numFmtId="164" fontId="41" fillId="18" borderId="32" xfId="1" applyNumberFormat="1" applyFont="1" applyFill="1" applyBorder="1" applyAlignment="1">
      <alignment horizontal="center" vertical="center" wrapText="1"/>
    </xf>
    <xf numFmtId="9" fontId="40" fillId="0" borderId="43" xfId="2" applyFont="1" applyBorder="1" applyAlignment="1">
      <alignment horizontal="center" vertical="center" wrapText="1"/>
    </xf>
    <xf numFmtId="0" fontId="40" fillId="0" borderId="32" xfId="0" applyFont="1" applyBorder="1" applyAlignment="1">
      <alignment horizontal="center" vertical="center" wrapText="1"/>
    </xf>
    <xf numFmtId="0" fontId="40" fillId="0" borderId="43" xfId="0" applyFont="1" applyBorder="1" applyAlignment="1">
      <alignment horizontal="center" vertical="center" wrapText="1"/>
    </xf>
    <xf numFmtId="0" fontId="49" fillId="0" borderId="0" xfId="0" applyFont="1" applyAlignment="1">
      <alignment horizontal="left" vertical="center" indent="3"/>
    </xf>
    <xf numFmtId="0" fontId="59" fillId="0" borderId="0" xfId="0" applyFont="1" applyAlignment="1">
      <alignment horizontal="center" vertical="center"/>
    </xf>
    <xf numFmtId="0" fontId="59" fillId="20" borderId="0" xfId="0" applyFont="1" applyFill="1" applyAlignment="1">
      <alignment horizontal="center" vertical="center"/>
    </xf>
    <xf numFmtId="0" fontId="49" fillId="0" borderId="0" xfId="0" applyFont="1" applyAlignment="1">
      <alignment horizontal="left" vertical="center" indent="7"/>
    </xf>
    <xf numFmtId="0" fontId="48" fillId="0" borderId="0" xfId="10" applyNumberFormat="1" applyFont="1" applyFill="1" applyAlignment="1">
      <alignment vertical="center" wrapText="1"/>
    </xf>
    <xf numFmtId="0" fontId="49" fillId="0" borderId="0" xfId="0" applyFont="1" applyAlignment="1">
      <alignment vertical="center"/>
    </xf>
    <xf numFmtId="3" fontId="49" fillId="20" borderId="0" xfId="0" applyNumberFormat="1" applyFont="1" applyFill="1" applyAlignment="1">
      <alignment vertical="center"/>
    </xf>
    <xf numFmtId="0" fontId="49" fillId="0" borderId="0" xfId="0" applyFont="1" applyBorder="1" applyAlignment="1">
      <alignment horizontal="left" vertical="center" indent="7"/>
    </xf>
    <xf numFmtId="0" fontId="0" fillId="0" borderId="0" xfId="0" applyBorder="1"/>
    <xf numFmtId="0" fontId="49" fillId="0" borderId="0" xfId="0" applyFont="1" applyBorder="1" applyAlignment="1">
      <alignment vertical="center"/>
    </xf>
    <xf numFmtId="3" fontId="49" fillId="20" borderId="0" xfId="0" applyNumberFormat="1" applyFont="1" applyFill="1" applyBorder="1" applyAlignment="1">
      <alignment vertical="center"/>
    </xf>
    <xf numFmtId="0" fontId="49" fillId="0" borderId="31" xfId="0" applyFont="1" applyBorder="1" applyAlignment="1">
      <alignment horizontal="left" vertical="center" indent="7"/>
    </xf>
    <xf numFmtId="0" fontId="0" fillId="0" borderId="31" xfId="0" applyBorder="1"/>
    <xf numFmtId="0" fontId="49" fillId="0" borderId="31" xfId="0" applyFont="1" applyBorder="1" applyAlignment="1">
      <alignment vertical="center"/>
    </xf>
    <xf numFmtId="3" fontId="49" fillId="20" borderId="31" xfId="0" applyNumberFormat="1" applyFont="1" applyFill="1" applyBorder="1" applyAlignment="1">
      <alignment vertical="center"/>
    </xf>
    <xf numFmtId="3" fontId="48" fillId="20" borderId="0" xfId="10" applyNumberFormat="1" applyFont="1" applyFill="1" applyAlignment="1">
      <alignment horizontal="right" vertical="center"/>
    </xf>
    <xf numFmtId="0" fontId="14" fillId="0" borderId="0" xfId="10"/>
    <xf numFmtId="0" fontId="50" fillId="0" borderId="0" xfId="3" applyFont="1"/>
    <xf numFmtId="0" fontId="53" fillId="0" borderId="0" xfId="3" applyFont="1"/>
    <xf numFmtId="0" fontId="1" fillId="0" borderId="0" xfId="3"/>
    <xf numFmtId="49" fontId="2" fillId="0" borderId="40" xfId="10" applyNumberFormat="1" applyFont="1" applyFill="1" applyBorder="1" applyAlignment="1" applyProtection="1">
      <alignment horizontal="left" vertical="center" wrapText="1"/>
      <protection locked="0"/>
    </xf>
    <xf numFmtId="0" fontId="49" fillId="0" borderId="31" xfId="0" applyFont="1" applyBorder="1" applyAlignment="1">
      <alignment horizontal="left" vertical="center" wrapText="1"/>
    </xf>
    <xf numFmtId="0" fontId="40" fillId="0" borderId="25" xfId="0" applyFont="1" applyBorder="1" applyAlignment="1">
      <alignment horizontal="center" vertical="center" wrapText="1"/>
    </xf>
    <xf numFmtId="0" fontId="40" fillId="0" borderId="30" xfId="0" applyFont="1" applyBorder="1" applyAlignment="1">
      <alignment horizontal="center" vertical="center" wrapText="1"/>
    </xf>
    <xf numFmtId="0" fontId="41" fillId="18" borderId="25" xfId="0" applyFont="1" applyFill="1" applyBorder="1" applyAlignment="1">
      <alignment horizontal="center" vertical="center" wrapText="1"/>
    </xf>
    <xf numFmtId="0" fontId="41" fillId="18" borderId="30" xfId="0" applyFont="1" applyFill="1" applyBorder="1" applyAlignment="1">
      <alignment horizontal="center" vertical="center" wrapText="1"/>
    </xf>
    <xf numFmtId="0" fontId="41" fillId="0" borderId="43" xfId="0" applyFont="1" applyBorder="1" applyAlignment="1">
      <alignment horizontal="center" vertical="center" wrapText="1"/>
    </xf>
    <xf numFmtId="49" fontId="2" fillId="0" borderId="40" xfId="10" applyNumberFormat="1" applyFont="1" applyFill="1" applyBorder="1" applyAlignment="1">
      <alignment horizontal="center" vertical="center" wrapText="1"/>
    </xf>
    <xf numFmtId="49" fontId="2" fillId="0" borderId="40" xfId="10" applyNumberFormat="1" applyFont="1" applyFill="1" applyBorder="1" applyAlignment="1">
      <alignment horizontal="right"/>
    </xf>
    <xf numFmtId="49" fontId="51" fillId="0" borderId="40" xfId="10" applyNumberFormat="1" applyFont="1" applyFill="1" applyBorder="1" applyAlignment="1" applyProtection="1">
      <alignment horizontal="center"/>
      <protection locked="0"/>
    </xf>
    <xf numFmtId="49" fontId="2" fillId="0" borderId="40" xfId="10" applyNumberFormat="1" applyFont="1" applyFill="1" applyBorder="1" applyAlignment="1" applyProtection="1">
      <alignment horizontal="center" vertical="top" wrapText="1"/>
      <protection locked="0"/>
    </xf>
    <xf numFmtId="49" fontId="10" fillId="0" borderId="40" xfId="10" applyNumberFormat="1" applyFont="1" applyFill="1" applyBorder="1" applyAlignment="1" applyProtection="1">
      <alignment vertical="center" wrapText="1"/>
      <protection locked="0"/>
    </xf>
  </cellXfs>
  <cellStyles count="12">
    <cellStyle name="Comma 5" xfId="8"/>
    <cellStyle name="Komats" xfId="1" builtinId="3"/>
    <cellStyle name="Komats 10" xfId="5"/>
    <cellStyle name="Normal 2 2" xfId="7"/>
    <cellStyle name="Normal 5 2" xfId="11"/>
    <cellStyle name="Parasts" xfId="0" builtinId="0"/>
    <cellStyle name="Parasts 2" xfId="10"/>
    <cellStyle name="Parasts 2 2 5" xfId="3"/>
    <cellStyle name="Percent 4" xfId="9"/>
    <cellStyle name="Procenti" xfId="2" builtinId="5"/>
    <cellStyle name="Procenti 2 3" xfId="4"/>
    <cellStyle name="Procenti 5" xfId="6"/>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5_2017_CF_Baze_2017_22112016_algu_rez_130_0201_arMD_2504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sarmite\Desktop\2010\2013\Budzets+2013_sedei\26.11.2013\Budzeta_projekts%202013_29.01.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row r="33">
          <cell r="F33">
            <v>80353</v>
          </cell>
        </row>
        <row r="35">
          <cell r="F35">
            <v>272018</v>
          </cell>
        </row>
        <row r="36">
          <cell r="F36">
            <v>21343</v>
          </cell>
        </row>
        <row r="38">
          <cell r="F38">
            <v>237440</v>
          </cell>
        </row>
        <row r="39">
          <cell r="F39">
            <v>33383</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ka"/>
      <sheetName val="EKK"/>
      <sheetName val="Izmaksu_veidi"/>
      <sheetName val="Baze"/>
      <sheetName val="Investicijas"/>
      <sheetName val="Links_uz_2016_2025"/>
      <sheetName val="Kopsavilkums"/>
      <sheetName val="2017.gada budzeta plans"/>
      <sheetName val="Grafiki"/>
      <sheetName val="2016_2025_092016"/>
      <sheetName val="2.Pielikums_Spec_budzets_2017"/>
      <sheetName val="4.pielikums_Saistibas_EUR_2017"/>
      <sheetName val="Invest_par_2016"/>
      <sheetName val="KA_31122016"/>
      <sheetName val="KA_31122015"/>
      <sheetName val="Vertetie_ienemumi"/>
      <sheetName val="Lidzfinansējums PrivPII"/>
      <sheetName val="PrivatasII"/>
      <sheetName val="Algas_2017"/>
      <sheetName val="Algas_2016"/>
      <sheetName val="Deputāti"/>
      <sheetName val="Adm_komisija"/>
      <sheetName val="Iepirk_komisija"/>
      <sheetName val="Velesanu_komis"/>
      <sheetName val="Komisijas"/>
      <sheetName val="Barintiesa"/>
      <sheetName val="tehn_grafiks_algas"/>
    </sheetNames>
    <sheetDataSet>
      <sheetData sheetId="0"/>
      <sheetData sheetId="1"/>
      <sheetData sheetId="2">
        <row r="60">
          <cell r="B60">
            <v>1156496</v>
          </cell>
          <cell r="C60">
            <v>697978</v>
          </cell>
          <cell r="D60">
            <v>32400</v>
          </cell>
          <cell r="E60">
            <v>2744741</v>
          </cell>
          <cell r="F60">
            <v>923190</v>
          </cell>
          <cell r="G60">
            <v>337059</v>
          </cell>
          <cell r="I60">
            <v>226869</v>
          </cell>
          <cell r="K60">
            <v>18403</v>
          </cell>
          <cell r="L60">
            <v>774213</v>
          </cell>
          <cell r="M60">
            <v>48124.333333333336</v>
          </cell>
          <cell r="N60">
            <v>178328</v>
          </cell>
          <cell r="O60">
            <v>19609</v>
          </cell>
          <cell r="P60">
            <v>46879</v>
          </cell>
          <cell r="Q60">
            <v>34316</v>
          </cell>
          <cell r="R60">
            <v>7950</v>
          </cell>
          <cell r="S60">
            <v>4726</v>
          </cell>
          <cell r="T60">
            <v>357122</v>
          </cell>
          <cell r="U60">
            <v>77629</v>
          </cell>
          <cell r="V60">
            <v>50000</v>
          </cell>
          <cell r="W60">
            <v>205327</v>
          </cell>
          <cell r="X60">
            <v>329655</v>
          </cell>
          <cell r="AJ60">
            <v>242963</v>
          </cell>
          <cell r="AK60">
            <v>317910</v>
          </cell>
          <cell r="AL60">
            <v>27995</v>
          </cell>
          <cell r="AM60">
            <v>66782</v>
          </cell>
          <cell r="AN60">
            <v>187623</v>
          </cell>
          <cell r="AO60">
            <v>26252</v>
          </cell>
          <cell r="AP60">
            <v>88242</v>
          </cell>
          <cell r="AR60">
            <v>473884</v>
          </cell>
          <cell r="AS60">
            <v>389149</v>
          </cell>
          <cell r="AV60">
            <v>385818</v>
          </cell>
          <cell r="AW60">
            <v>75701</v>
          </cell>
          <cell r="AX60">
            <v>436190</v>
          </cell>
          <cell r="AY60">
            <v>29770</v>
          </cell>
          <cell r="AZ60">
            <v>18450</v>
          </cell>
          <cell r="BA60">
            <v>3000</v>
          </cell>
          <cell r="BB60">
            <v>498835</v>
          </cell>
          <cell r="BF60">
            <v>44034</v>
          </cell>
          <cell r="BI60">
            <v>1635343</v>
          </cell>
          <cell r="BJ60">
            <v>712247</v>
          </cell>
        </row>
        <row r="62">
          <cell r="B62">
            <v>152348</v>
          </cell>
          <cell r="C62">
            <v>53750</v>
          </cell>
          <cell r="E62">
            <v>1808755</v>
          </cell>
          <cell r="F62">
            <v>413441</v>
          </cell>
          <cell r="G62">
            <v>159886</v>
          </cell>
          <cell r="I62">
            <v>3642</v>
          </cell>
          <cell r="BB62">
            <v>72202</v>
          </cell>
        </row>
        <row r="64">
          <cell r="E64">
            <v>60145</v>
          </cell>
        </row>
        <row r="88">
          <cell r="BE88">
            <v>0</v>
          </cell>
        </row>
      </sheetData>
      <sheetData sheetId="3"/>
      <sheetData sheetId="4">
        <row r="57">
          <cell r="E57">
            <v>14118</v>
          </cell>
        </row>
      </sheetData>
      <sheetData sheetId="5"/>
      <sheetData sheetId="6">
        <row r="1450">
          <cell r="K1450">
            <v>1155339.3199944133</v>
          </cell>
        </row>
        <row r="1452">
          <cell r="K1452">
            <v>220219.89199999999</v>
          </cell>
        </row>
      </sheetData>
      <sheetData sheetId="7"/>
      <sheetData sheetId="8"/>
      <sheetData sheetId="9">
        <row r="91">
          <cell r="H91">
            <v>1690429.23</v>
          </cell>
        </row>
        <row r="94">
          <cell r="H94">
            <v>283203.52999999997</v>
          </cell>
        </row>
        <row r="95">
          <cell r="H95">
            <v>1376725.7</v>
          </cell>
        </row>
        <row r="106">
          <cell r="H106">
            <v>36000</v>
          </cell>
        </row>
        <row r="138">
          <cell r="H138">
            <v>2774864.2371999999</v>
          </cell>
        </row>
        <row r="158">
          <cell r="H158">
            <v>2514960.02</v>
          </cell>
        </row>
        <row r="160">
          <cell r="H160">
            <v>1700900</v>
          </cell>
        </row>
        <row r="162">
          <cell r="H162">
            <v>814060.02</v>
          </cell>
        </row>
        <row r="171">
          <cell r="H171">
            <v>41866.879999999997</v>
          </cell>
        </row>
        <row r="175">
          <cell r="H175">
            <v>41866.879999999997</v>
          </cell>
        </row>
        <row r="197">
          <cell r="H197">
            <v>27000</v>
          </cell>
        </row>
        <row r="199">
          <cell r="H199">
            <v>0</v>
          </cell>
        </row>
        <row r="200">
          <cell r="H200">
            <v>20933</v>
          </cell>
        </row>
        <row r="213">
          <cell r="H213"/>
        </row>
        <row r="215">
          <cell r="H215"/>
        </row>
        <row r="216">
          <cell r="H216">
            <v>0</v>
          </cell>
        </row>
        <row r="226">
          <cell r="H226">
            <v>240000.35759999999</v>
          </cell>
        </row>
        <row r="228">
          <cell r="H228">
            <v>210000</v>
          </cell>
        </row>
        <row r="229">
          <cell r="H229">
            <v>30000.357599999988</v>
          </cell>
        </row>
        <row r="249">
          <cell r="H249">
            <v>105500</v>
          </cell>
        </row>
        <row r="252">
          <cell r="H252">
            <v>105500</v>
          </cell>
        </row>
        <row r="278">
          <cell r="H278">
            <v>45434.130000000005</v>
          </cell>
        </row>
        <row r="280">
          <cell r="H280">
            <v>43270.130000000005</v>
          </cell>
        </row>
      </sheetData>
      <sheetData sheetId="10"/>
      <sheetData sheetId="11"/>
      <sheetData sheetId="12"/>
      <sheetData sheetId="13"/>
      <sheetData sheetId="14"/>
      <sheetData sheetId="15">
        <row r="25">
          <cell r="C25">
            <v>9764041.9579276983</v>
          </cell>
          <cell r="D25">
            <v>932058</v>
          </cell>
          <cell r="E25">
            <v>230822</v>
          </cell>
          <cell r="F25">
            <v>997</v>
          </cell>
          <cell r="G25">
            <v>184908</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ērs_apstip"/>
      <sheetName val="4.pielikums_Saist_apmērs_pl (2"/>
      <sheetName val="Lapa3"/>
      <sheetName val="4.pielikums_Saist_apmērs_plans"/>
      <sheetName val="4.pielikums_Saist_apmērs_fakts"/>
      <sheetName val="Lapa1 (3)"/>
      <sheetName val="Lapa1 (2)"/>
      <sheetName val="2013.gada budzeta plans"/>
      <sheetName val="Avizes izmaksas"/>
      <sheetName val="Saturs"/>
      <sheetName val="KA_31122012"/>
      <sheetName val="KA_aktualais"/>
      <sheetName val="Neieliktie_izdevumi"/>
      <sheetName val="Neieliktie_izdevumi_fin_kom"/>
      <sheetName val="Neieliktie_izdevumi (2)"/>
      <sheetName val="PFI"/>
      <sheetName val="Vertetie_ienemumi"/>
      <sheetName val="NIN_aprekins_2013"/>
      <sheetName val="NIN_30112012"/>
      <sheetName val="Leader"/>
      <sheetName val="LeaderDL"/>
      <sheetName val="Leader_2013"/>
      <sheetName val="Edinasana"/>
      <sheetName val="Pretpludu_projekts_CF"/>
      <sheetName val="Grafiki"/>
      <sheetName val="Sheet2"/>
      <sheetName val="Kopsavilkums"/>
      <sheetName val="0950_5238"/>
      <sheetName val="Spec_budz"/>
      <sheetName val="Lapa1"/>
      <sheetName val="Varianti"/>
      <sheetName val="PrivatasII"/>
      <sheetName val="Algas_75%(50%)"/>
      <sheetName val="Lapa2"/>
      <sheetName val="Algas_75%(50%_0%)"/>
      <sheetName val="Algas_80% (90%_5%)"/>
      <sheetName val="Algas_80% (3%)"/>
      <sheetName val="Algas 2012"/>
      <sheetName val="Deputāti"/>
      <sheetName val="Adm_komisija"/>
      <sheetName val="Iepirk_komisija"/>
      <sheetName val="MMS"/>
      <sheetName val="Sports"/>
      <sheetName val="kic"/>
      <sheetName val="ĀKC"/>
      <sheetName val="PP_novada video"/>
      <sheetName val="Pretpludu_projekts"/>
      <sheetName val="Ligo_lauk_projekts"/>
      <sheetName val="MMS_2012_I"/>
      <sheetName val="2012"/>
      <sheetName val="Savst_norekini"/>
    </sheetNames>
    <sheetDataSet>
      <sheetData sheetId="0"/>
      <sheetData sheetId="1"/>
      <sheetData sheetId="2"/>
      <sheetData sheetId="3"/>
      <sheetData sheetId="4"/>
      <sheetData sheetId="5"/>
      <sheetData sheetId="6"/>
      <sheetData sheetId="7"/>
      <sheetData sheetId="8"/>
      <sheetData sheetId="9">
        <row r="8">
          <cell r="E8">
            <v>405290</v>
          </cell>
        </row>
      </sheetData>
      <sheetData sheetId="10">
        <row r="9">
          <cell r="D9">
            <v>14944.23</v>
          </cell>
        </row>
      </sheetData>
      <sheetData sheetId="11"/>
      <sheetData sheetId="12"/>
      <sheetData sheetId="13"/>
      <sheetData sheetId="14"/>
      <sheetData sheetId="15"/>
      <sheetData sheetId="16">
        <row r="36">
          <cell r="C36">
            <v>4476334.1117332615</v>
          </cell>
        </row>
      </sheetData>
      <sheetData sheetId="17">
        <row r="13">
          <cell r="C13">
            <v>138102.32999999999</v>
          </cell>
        </row>
      </sheetData>
      <sheetData sheetId="18">
        <row r="23">
          <cell r="C23">
            <v>190481</v>
          </cell>
        </row>
      </sheetData>
      <sheetData sheetId="19"/>
      <sheetData sheetId="20"/>
      <sheetData sheetId="21"/>
      <sheetData sheetId="22">
        <row r="8">
          <cell r="B8">
            <v>15849.600000000002</v>
          </cell>
        </row>
      </sheetData>
      <sheetData sheetId="23"/>
      <sheetData sheetId="24"/>
      <sheetData sheetId="25"/>
      <sheetData sheetId="26">
        <row r="1333">
          <cell r="I1333">
            <v>42058.371793999999</v>
          </cell>
        </row>
      </sheetData>
      <sheetData sheetId="27"/>
      <sheetData sheetId="28"/>
      <sheetData sheetId="29"/>
      <sheetData sheetId="30"/>
      <sheetData sheetId="31"/>
      <sheetData sheetId="32">
        <row r="148">
          <cell r="H148">
            <v>146689.89124999999</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H235"/>
  <sheetViews>
    <sheetView tabSelected="1" zoomScale="85" zoomScaleNormal="85" zoomScaleSheetLayoutView="80" workbookViewId="0">
      <pane xSplit="4" ySplit="5" topLeftCell="E85" activePane="bottomRight" state="frozen"/>
      <selection activeCell="C1" sqref="C1"/>
      <selection pane="topRight" activeCell="E1" sqref="E1"/>
      <selection pane="bottomLeft" activeCell="C6" sqref="C6"/>
      <selection pane="bottomRight" activeCell="C113" sqref="C113:D113"/>
    </sheetView>
  </sheetViews>
  <sheetFormatPr defaultRowHeight="15" outlineLevelRow="3" outlineLevelCol="3" x14ac:dyDescent="0.25"/>
  <cols>
    <col min="1" max="1" width="4.140625" style="1" hidden="1" customWidth="1" outlineLevel="2"/>
    <col min="2" max="2" width="10.7109375" style="1" hidden="1" customWidth="1" outlineLevel="2"/>
    <col min="3" max="3" width="13.7109375" style="10" customWidth="1" collapsed="1"/>
    <col min="4" max="4" width="36.28515625" style="6" customWidth="1"/>
    <col min="5" max="5" width="14.85546875" style="211" hidden="1" customWidth="1" outlineLevel="3"/>
    <col min="6" max="6" width="14.85546875" style="254" hidden="1" customWidth="1" outlineLevel="2"/>
    <col min="7" max="7" width="14.85546875" style="212" hidden="1" customWidth="1" outlineLevel="1" collapsed="1"/>
    <col min="8" max="8" width="14.42578125" style="26" hidden="1" customWidth="1" outlineLevel="2"/>
    <col min="9" max="9" width="16.85546875" style="26" hidden="1" customWidth="1" outlineLevel="3"/>
    <col min="10" max="11" width="13.42578125" style="26" hidden="1" customWidth="1" outlineLevel="3"/>
    <col min="12" max="12" width="14.85546875" style="26" hidden="1" customWidth="1" outlineLevel="2"/>
    <col min="13" max="13" width="14.85546875" style="1" hidden="1" customWidth="1" outlineLevel="1" collapsed="1"/>
    <col min="14" max="14" width="14.85546875" style="1" hidden="1" customWidth="1" outlineLevel="2" collapsed="1"/>
    <col min="15" max="15" width="11" style="29" hidden="1" customWidth="1" outlineLevel="2" collapsed="1"/>
    <col min="16" max="16" width="14.85546875" style="1" customWidth="1" collapsed="1"/>
    <col min="17" max="17" width="14.85546875" style="1" hidden="1" customWidth="1" outlineLevel="1" collapsed="1"/>
    <col min="18" max="18" width="60" style="29" hidden="1" customWidth="1" outlineLevel="1" collapsed="1"/>
    <col min="19" max="19" width="14.85546875" style="1" customWidth="1" collapsed="1"/>
    <col min="20" max="20" width="14.85546875" style="1" hidden="1" customWidth="1" outlineLevel="1" collapsed="1"/>
    <col min="21" max="21" width="60" style="29" hidden="1" customWidth="1" outlineLevel="1" collapsed="1"/>
    <col min="22" max="23" width="14.85546875" style="1" customWidth="1" collapsed="1"/>
    <col min="24" max="24" width="60" style="29" hidden="1" customWidth="1" outlineLevel="1" collapsed="1"/>
    <col min="25" max="25" width="14.85546875" style="213" customWidth="1" collapsed="1"/>
    <col min="26" max="26" width="14.85546875" style="30" customWidth="1" collapsed="1"/>
    <col min="27" max="27" width="76" style="30" customWidth="1" collapsed="1"/>
    <col min="28" max="28" width="15.42578125" style="10" customWidth="1"/>
    <col min="29" max="214" width="9.140625" style="1"/>
    <col min="215" max="216" width="0" style="1" hidden="1" customWidth="1"/>
    <col min="217" max="217" width="13.7109375" style="1" customWidth="1"/>
    <col min="218" max="218" width="52.85546875" style="1" customWidth="1"/>
    <col min="219" max="258" width="0" style="1" hidden="1" customWidth="1"/>
    <col min="259" max="260" width="14.85546875" style="1" customWidth="1"/>
    <col min="261" max="262" width="0" style="1" hidden="1" customWidth="1"/>
    <col min="263" max="263" width="14.85546875" style="1" customWidth="1"/>
    <col min="264" max="265" width="0" style="1" hidden="1" customWidth="1"/>
    <col min="266" max="266" width="14.85546875" style="1" customWidth="1"/>
    <col min="267" max="268" width="0" style="1" hidden="1" customWidth="1"/>
    <col min="269" max="269" width="14.85546875" style="1" customWidth="1"/>
    <col min="270" max="271" width="0" style="1" hidden="1" customWidth="1"/>
    <col min="272" max="272" width="14.85546875" style="1" customWidth="1"/>
    <col min="273" max="274" width="0" style="1" hidden="1" customWidth="1"/>
    <col min="275" max="276" width="14.85546875" style="1" customWidth="1"/>
    <col min="277" max="277" width="44.42578125" style="1" customWidth="1"/>
    <col min="278" max="282" width="14.85546875" style="1" customWidth="1"/>
    <col min="283" max="283" width="63.85546875" style="1" customWidth="1"/>
    <col min="284" max="284" width="13.28515625" style="1" customWidth="1"/>
    <col min="285" max="470" width="9.140625" style="1"/>
    <col min="471" max="472" width="0" style="1" hidden="1" customWidth="1"/>
    <col min="473" max="473" width="13.7109375" style="1" customWidth="1"/>
    <col min="474" max="474" width="52.85546875" style="1" customWidth="1"/>
    <col min="475" max="514" width="0" style="1" hidden="1" customWidth="1"/>
    <col min="515" max="516" width="14.85546875" style="1" customWidth="1"/>
    <col min="517" max="518" width="0" style="1" hidden="1" customWidth="1"/>
    <col min="519" max="519" width="14.85546875" style="1" customWidth="1"/>
    <col min="520" max="521" width="0" style="1" hidden="1" customWidth="1"/>
    <col min="522" max="522" width="14.85546875" style="1" customWidth="1"/>
    <col min="523" max="524" width="0" style="1" hidden="1" customWidth="1"/>
    <col min="525" max="525" width="14.85546875" style="1" customWidth="1"/>
    <col min="526" max="527" width="0" style="1" hidden="1" customWidth="1"/>
    <col min="528" max="528" width="14.85546875" style="1" customWidth="1"/>
    <col min="529" max="530" width="0" style="1" hidden="1" customWidth="1"/>
    <col min="531" max="532" width="14.85546875" style="1" customWidth="1"/>
    <col min="533" max="533" width="44.42578125" style="1" customWidth="1"/>
    <col min="534" max="538" width="14.85546875" style="1" customWidth="1"/>
    <col min="539" max="539" width="63.85546875" style="1" customWidth="1"/>
    <col min="540" max="540" width="13.28515625" style="1" customWidth="1"/>
    <col min="541" max="726" width="9.140625" style="1"/>
    <col min="727" max="728" width="0" style="1" hidden="1" customWidth="1"/>
    <col min="729" max="729" width="13.7109375" style="1" customWidth="1"/>
    <col min="730" max="730" width="52.85546875" style="1" customWidth="1"/>
    <col min="731" max="770" width="0" style="1" hidden="1" customWidth="1"/>
    <col min="771" max="772" width="14.85546875" style="1" customWidth="1"/>
    <col min="773" max="774" width="0" style="1" hidden="1" customWidth="1"/>
    <col min="775" max="775" width="14.85546875" style="1" customWidth="1"/>
    <col min="776" max="777" width="0" style="1" hidden="1" customWidth="1"/>
    <col min="778" max="778" width="14.85546875" style="1" customWidth="1"/>
    <col min="779" max="780" width="0" style="1" hidden="1" customWidth="1"/>
    <col min="781" max="781" width="14.85546875" style="1" customWidth="1"/>
    <col min="782" max="783" width="0" style="1" hidden="1" customWidth="1"/>
    <col min="784" max="784" width="14.85546875" style="1" customWidth="1"/>
    <col min="785" max="786" width="0" style="1" hidden="1" customWidth="1"/>
    <col min="787" max="788" width="14.85546875" style="1" customWidth="1"/>
    <col min="789" max="789" width="44.42578125" style="1" customWidth="1"/>
    <col min="790" max="794" width="14.85546875" style="1" customWidth="1"/>
    <col min="795" max="795" width="63.85546875" style="1" customWidth="1"/>
    <col min="796" max="796" width="13.28515625" style="1" customWidth="1"/>
    <col min="797" max="982" width="9.140625" style="1"/>
    <col min="983" max="984" width="0" style="1" hidden="1" customWidth="1"/>
    <col min="985" max="985" width="13.7109375" style="1" customWidth="1"/>
    <col min="986" max="986" width="52.85546875" style="1" customWidth="1"/>
    <col min="987" max="1026" width="0" style="1" hidden="1" customWidth="1"/>
    <col min="1027" max="1028" width="14.85546875" style="1" customWidth="1"/>
    <col min="1029" max="1030" width="0" style="1" hidden="1" customWidth="1"/>
    <col min="1031" max="1031" width="14.85546875" style="1" customWidth="1"/>
    <col min="1032" max="1033" width="0" style="1" hidden="1" customWidth="1"/>
    <col min="1034" max="1034" width="14.85546875" style="1" customWidth="1"/>
    <col min="1035" max="1036" width="0" style="1" hidden="1" customWidth="1"/>
    <col min="1037" max="1037" width="14.85546875" style="1" customWidth="1"/>
    <col min="1038" max="1039" width="0" style="1" hidden="1" customWidth="1"/>
    <col min="1040" max="1040" width="14.85546875" style="1" customWidth="1"/>
    <col min="1041" max="1042" width="0" style="1" hidden="1" customWidth="1"/>
    <col min="1043" max="1044" width="14.85546875" style="1" customWidth="1"/>
    <col min="1045" max="1045" width="44.42578125" style="1" customWidth="1"/>
    <col min="1046" max="1050" width="14.85546875" style="1" customWidth="1"/>
    <col min="1051" max="1051" width="63.85546875" style="1" customWidth="1"/>
    <col min="1052" max="1052" width="13.28515625" style="1" customWidth="1"/>
    <col min="1053" max="1238" width="9.140625" style="1"/>
    <col min="1239" max="1240" width="0" style="1" hidden="1" customWidth="1"/>
    <col min="1241" max="1241" width="13.7109375" style="1" customWidth="1"/>
    <col min="1242" max="1242" width="52.85546875" style="1" customWidth="1"/>
    <col min="1243" max="1282" width="0" style="1" hidden="1" customWidth="1"/>
    <col min="1283" max="1284" width="14.85546875" style="1" customWidth="1"/>
    <col min="1285" max="1286" width="0" style="1" hidden="1" customWidth="1"/>
    <col min="1287" max="1287" width="14.85546875" style="1" customWidth="1"/>
    <col min="1288" max="1289" width="0" style="1" hidden="1" customWidth="1"/>
    <col min="1290" max="1290" width="14.85546875" style="1" customWidth="1"/>
    <col min="1291" max="1292" width="0" style="1" hidden="1" customWidth="1"/>
    <col min="1293" max="1293" width="14.85546875" style="1" customWidth="1"/>
    <col min="1294" max="1295" width="0" style="1" hidden="1" customWidth="1"/>
    <col min="1296" max="1296" width="14.85546875" style="1" customWidth="1"/>
    <col min="1297" max="1298" width="0" style="1" hidden="1" customWidth="1"/>
    <col min="1299" max="1300" width="14.85546875" style="1" customWidth="1"/>
    <col min="1301" max="1301" width="44.42578125" style="1" customWidth="1"/>
    <col min="1302" max="1306" width="14.85546875" style="1" customWidth="1"/>
    <col min="1307" max="1307" width="63.85546875" style="1" customWidth="1"/>
    <col min="1308" max="1308" width="13.28515625" style="1" customWidth="1"/>
    <col min="1309" max="1494" width="9.140625" style="1"/>
    <col min="1495" max="1496" width="0" style="1" hidden="1" customWidth="1"/>
    <col min="1497" max="1497" width="13.7109375" style="1" customWidth="1"/>
    <col min="1498" max="1498" width="52.85546875" style="1" customWidth="1"/>
    <col min="1499" max="1538" width="0" style="1" hidden="1" customWidth="1"/>
    <col min="1539" max="1540" width="14.85546875" style="1" customWidth="1"/>
    <col min="1541" max="1542" width="0" style="1" hidden="1" customWidth="1"/>
    <col min="1543" max="1543" width="14.85546875" style="1" customWidth="1"/>
    <col min="1544" max="1545" width="0" style="1" hidden="1" customWidth="1"/>
    <col min="1546" max="1546" width="14.85546875" style="1" customWidth="1"/>
    <col min="1547" max="1548" width="0" style="1" hidden="1" customWidth="1"/>
    <col min="1549" max="1549" width="14.85546875" style="1" customWidth="1"/>
    <col min="1550" max="1551" width="0" style="1" hidden="1" customWidth="1"/>
    <col min="1552" max="1552" width="14.85546875" style="1" customWidth="1"/>
    <col min="1553" max="1554" width="0" style="1" hidden="1" customWidth="1"/>
    <col min="1555" max="1556" width="14.85546875" style="1" customWidth="1"/>
    <col min="1557" max="1557" width="44.42578125" style="1" customWidth="1"/>
    <col min="1558" max="1562" width="14.85546875" style="1" customWidth="1"/>
    <col min="1563" max="1563" width="63.85546875" style="1" customWidth="1"/>
    <col min="1564" max="1564" width="13.28515625" style="1" customWidth="1"/>
    <col min="1565" max="1750" width="9.140625" style="1"/>
    <col min="1751" max="1752" width="0" style="1" hidden="1" customWidth="1"/>
    <col min="1753" max="1753" width="13.7109375" style="1" customWidth="1"/>
    <col min="1754" max="1754" width="52.85546875" style="1" customWidth="1"/>
    <col min="1755" max="1794" width="0" style="1" hidden="1" customWidth="1"/>
    <col min="1795" max="1796" width="14.85546875" style="1" customWidth="1"/>
    <col min="1797" max="1798" width="0" style="1" hidden="1" customWidth="1"/>
    <col min="1799" max="1799" width="14.85546875" style="1" customWidth="1"/>
    <col min="1800" max="1801" width="0" style="1" hidden="1" customWidth="1"/>
    <col min="1802" max="1802" width="14.85546875" style="1" customWidth="1"/>
    <col min="1803" max="1804" width="0" style="1" hidden="1" customWidth="1"/>
    <col min="1805" max="1805" width="14.85546875" style="1" customWidth="1"/>
    <col min="1806" max="1807" width="0" style="1" hidden="1" customWidth="1"/>
    <col min="1808" max="1808" width="14.85546875" style="1" customWidth="1"/>
    <col min="1809" max="1810" width="0" style="1" hidden="1" customWidth="1"/>
    <col min="1811" max="1812" width="14.85546875" style="1" customWidth="1"/>
    <col min="1813" max="1813" width="44.42578125" style="1" customWidth="1"/>
    <col min="1814" max="1818" width="14.85546875" style="1" customWidth="1"/>
    <col min="1819" max="1819" width="63.85546875" style="1" customWidth="1"/>
    <col min="1820" max="1820" width="13.28515625" style="1" customWidth="1"/>
    <col min="1821" max="2006" width="9.140625" style="1"/>
    <col min="2007" max="2008" width="0" style="1" hidden="1" customWidth="1"/>
    <col min="2009" max="2009" width="13.7109375" style="1" customWidth="1"/>
    <col min="2010" max="2010" width="52.85546875" style="1" customWidth="1"/>
    <col min="2011" max="2050" width="0" style="1" hidden="1" customWidth="1"/>
    <col min="2051" max="2052" width="14.85546875" style="1" customWidth="1"/>
    <col min="2053" max="2054" width="0" style="1" hidden="1" customWidth="1"/>
    <col min="2055" max="2055" width="14.85546875" style="1" customWidth="1"/>
    <col min="2056" max="2057" width="0" style="1" hidden="1" customWidth="1"/>
    <col min="2058" max="2058" width="14.85546875" style="1" customWidth="1"/>
    <col min="2059" max="2060" width="0" style="1" hidden="1" customWidth="1"/>
    <col min="2061" max="2061" width="14.85546875" style="1" customWidth="1"/>
    <col min="2062" max="2063" width="0" style="1" hidden="1" customWidth="1"/>
    <col min="2064" max="2064" width="14.85546875" style="1" customWidth="1"/>
    <col min="2065" max="2066" width="0" style="1" hidden="1" customWidth="1"/>
    <col min="2067" max="2068" width="14.85546875" style="1" customWidth="1"/>
    <col min="2069" max="2069" width="44.42578125" style="1" customWidth="1"/>
    <col min="2070" max="2074" width="14.85546875" style="1" customWidth="1"/>
    <col min="2075" max="2075" width="63.85546875" style="1" customWidth="1"/>
    <col min="2076" max="2076" width="13.28515625" style="1" customWidth="1"/>
    <col min="2077" max="2262" width="9.140625" style="1"/>
    <col min="2263" max="2264" width="0" style="1" hidden="1" customWidth="1"/>
    <col min="2265" max="2265" width="13.7109375" style="1" customWidth="1"/>
    <col min="2266" max="2266" width="52.85546875" style="1" customWidth="1"/>
    <col min="2267" max="2306" width="0" style="1" hidden="1" customWidth="1"/>
    <col min="2307" max="2308" width="14.85546875" style="1" customWidth="1"/>
    <col min="2309" max="2310" width="0" style="1" hidden="1" customWidth="1"/>
    <col min="2311" max="2311" width="14.85546875" style="1" customWidth="1"/>
    <col min="2312" max="2313" width="0" style="1" hidden="1" customWidth="1"/>
    <col min="2314" max="2314" width="14.85546875" style="1" customWidth="1"/>
    <col min="2315" max="2316" width="0" style="1" hidden="1" customWidth="1"/>
    <col min="2317" max="2317" width="14.85546875" style="1" customWidth="1"/>
    <col min="2318" max="2319" width="0" style="1" hidden="1" customWidth="1"/>
    <col min="2320" max="2320" width="14.85546875" style="1" customWidth="1"/>
    <col min="2321" max="2322" width="0" style="1" hidden="1" customWidth="1"/>
    <col min="2323" max="2324" width="14.85546875" style="1" customWidth="1"/>
    <col min="2325" max="2325" width="44.42578125" style="1" customWidth="1"/>
    <col min="2326" max="2330" width="14.85546875" style="1" customWidth="1"/>
    <col min="2331" max="2331" width="63.85546875" style="1" customWidth="1"/>
    <col min="2332" max="2332" width="13.28515625" style="1" customWidth="1"/>
    <col min="2333" max="2518" width="9.140625" style="1"/>
    <col min="2519" max="2520" width="0" style="1" hidden="1" customWidth="1"/>
    <col min="2521" max="2521" width="13.7109375" style="1" customWidth="1"/>
    <col min="2522" max="2522" width="52.85546875" style="1" customWidth="1"/>
    <col min="2523" max="2562" width="0" style="1" hidden="1" customWidth="1"/>
    <col min="2563" max="2564" width="14.85546875" style="1" customWidth="1"/>
    <col min="2565" max="2566" width="0" style="1" hidden="1" customWidth="1"/>
    <col min="2567" max="2567" width="14.85546875" style="1" customWidth="1"/>
    <col min="2568" max="2569" width="0" style="1" hidden="1" customWidth="1"/>
    <col min="2570" max="2570" width="14.85546875" style="1" customWidth="1"/>
    <col min="2571" max="2572" width="0" style="1" hidden="1" customWidth="1"/>
    <col min="2573" max="2573" width="14.85546875" style="1" customWidth="1"/>
    <col min="2574" max="2575" width="0" style="1" hidden="1" customWidth="1"/>
    <col min="2576" max="2576" width="14.85546875" style="1" customWidth="1"/>
    <col min="2577" max="2578" width="0" style="1" hidden="1" customWidth="1"/>
    <col min="2579" max="2580" width="14.85546875" style="1" customWidth="1"/>
    <col min="2581" max="2581" width="44.42578125" style="1" customWidth="1"/>
    <col min="2582" max="2586" width="14.85546875" style="1" customWidth="1"/>
    <col min="2587" max="2587" width="63.85546875" style="1" customWidth="1"/>
    <col min="2588" max="2588" width="13.28515625" style="1" customWidth="1"/>
    <col min="2589" max="2774" width="9.140625" style="1"/>
    <col min="2775" max="2776" width="0" style="1" hidden="1" customWidth="1"/>
    <col min="2777" max="2777" width="13.7109375" style="1" customWidth="1"/>
    <col min="2778" max="2778" width="52.85546875" style="1" customWidth="1"/>
    <col min="2779" max="2818" width="0" style="1" hidden="1" customWidth="1"/>
    <col min="2819" max="2820" width="14.85546875" style="1" customWidth="1"/>
    <col min="2821" max="2822" width="0" style="1" hidden="1" customWidth="1"/>
    <col min="2823" max="2823" width="14.85546875" style="1" customWidth="1"/>
    <col min="2824" max="2825" width="0" style="1" hidden="1" customWidth="1"/>
    <col min="2826" max="2826" width="14.85546875" style="1" customWidth="1"/>
    <col min="2827" max="2828" width="0" style="1" hidden="1" customWidth="1"/>
    <col min="2829" max="2829" width="14.85546875" style="1" customWidth="1"/>
    <col min="2830" max="2831" width="0" style="1" hidden="1" customWidth="1"/>
    <col min="2832" max="2832" width="14.85546875" style="1" customWidth="1"/>
    <col min="2833" max="2834" width="0" style="1" hidden="1" customWidth="1"/>
    <col min="2835" max="2836" width="14.85546875" style="1" customWidth="1"/>
    <col min="2837" max="2837" width="44.42578125" style="1" customWidth="1"/>
    <col min="2838" max="2842" width="14.85546875" style="1" customWidth="1"/>
    <col min="2843" max="2843" width="63.85546875" style="1" customWidth="1"/>
    <col min="2844" max="2844" width="13.28515625" style="1" customWidth="1"/>
    <col min="2845" max="3030" width="9.140625" style="1"/>
    <col min="3031" max="3032" width="0" style="1" hidden="1" customWidth="1"/>
    <col min="3033" max="3033" width="13.7109375" style="1" customWidth="1"/>
    <col min="3034" max="3034" width="52.85546875" style="1" customWidth="1"/>
    <col min="3035" max="3074" width="0" style="1" hidden="1" customWidth="1"/>
    <col min="3075" max="3076" width="14.85546875" style="1" customWidth="1"/>
    <col min="3077" max="3078" width="0" style="1" hidden="1" customWidth="1"/>
    <col min="3079" max="3079" width="14.85546875" style="1" customWidth="1"/>
    <col min="3080" max="3081" width="0" style="1" hidden="1" customWidth="1"/>
    <col min="3082" max="3082" width="14.85546875" style="1" customWidth="1"/>
    <col min="3083" max="3084" width="0" style="1" hidden="1" customWidth="1"/>
    <col min="3085" max="3085" width="14.85546875" style="1" customWidth="1"/>
    <col min="3086" max="3087" width="0" style="1" hidden="1" customWidth="1"/>
    <col min="3088" max="3088" width="14.85546875" style="1" customWidth="1"/>
    <col min="3089" max="3090" width="0" style="1" hidden="1" customWidth="1"/>
    <col min="3091" max="3092" width="14.85546875" style="1" customWidth="1"/>
    <col min="3093" max="3093" width="44.42578125" style="1" customWidth="1"/>
    <col min="3094" max="3098" width="14.85546875" style="1" customWidth="1"/>
    <col min="3099" max="3099" width="63.85546875" style="1" customWidth="1"/>
    <col min="3100" max="3100" width="13.28515625" style="1" customWidth="1"/>
    <col min="3101" max="3286" width="9.140625" style="1"/>
    <col min="3287" max="3288" width="0" style="1" hidden="1" customWidth="1"/>
    <col min="3289" max="3289" width="13.7109375" style="1" customWidth="1"/>
    <col min="3290" max="3290" width="52.85546875" style="1" customWidth="1"/>
    <col min="3291" max="3330" width="0" style="1" hidden="1" customWidth="1"/>
    <col min="3331" max="3332" width="14.85546875" style="1" customWidth="1"/>
    <col min="3333" max="3334" width="0" style="1" hidden="1" customWidth="1"/>
    <col min="3335" max="3335" width="14.85546875" style="1" customWidth="1"/>
    <col min="3336" max="3337" width="0" style="1" hidden="1" customWidth="1"/>
    <col min="3338" max="3338" width="14.85546875" style="1" customWidth="1"/>
    <col min="3339" max="3340" width="0" style="1" hidden="1" customWidth="1"/>
    <col min="3341" max="3341" width="14.85546875" style="1" customWidth="1"/>
    <col min="3342" max="3343" width="0" style="1" hidden="1" customWidth="1"/>
    <col min="3344" max="3344" width="14.85546875" style="1" customWidth="1"/>
    <col min="3345" max="3346" width="0" style="1" hidden="1" customWidth="1"/>
    <col min="3347" max="3348" width="14.85546875" style="1" customWidth="1"/>
    <col min="3349" max="3349" width="44.42578125" style="1" customWidth="1"/>
    <col min="3350" max="3354" width="14.85546875" style="1" customWidth="1"/>
    <col min="3355" max="3355" width="63.85546875" style="1" customWidth="1"/>
    <col min="3356" max="3356" width="13.28515625" style="1" customWidth="1"/>
    <col min="3357" max="3542" width="9.140625" style="1"/>
    <col min="3543" max="3544" width="0" style="1" hidden="1" customWidth="1"/>
    <col min="3545" max="3545" width="13.7109375" style="1" customWidth="1"/>
    <col min="3546" max="3546" width="52.85546875" style="1" customWidth="1"/>
    <col min="3547" max="3586" width="0" style="1" hidden="1" customWidth="1"/>
    <col min="3587" max="3588" width="14.85546875" style="1" customWidth="1"/>
    <col min="3589" max="3590" width="0" style="1" hidden="1" customWidth="1"/>
    <col min="3591" max="3591" width="14.85546875" style="1" customWidth="1"/>
    <col min="3592" max="3593" width="0" style="1" hidden="1" customWidth="1"/>
    <col min="3594" max="3594" width="14.85546875" style="1" customWidth="1"/>
    <col min="3595" max="3596" width="0" style="1" hidden="1" customWidth="1"/>
    <col min="3597" max="3597" width="14.85546875" style="1" customWidth="1"/>
    <col min="3598" max="3599" width="0" style="1" hidden="1" customWidth="1"/>
    <col min="3600" max="3600" width="14.85546875" style="1" customWidth="1"/>
    <col min="3601" max="3602" width="0" style="1" hidden="1" customWidth="1"/>
    <col min="3603" max="3604" width="14.85546875" style="1" customWidth="1"/>
    <col min="3605" max="3605" width="44.42578125" style="1" customWidth="1"/>
    <col min="3606" max="3610" width="14.85546875" style="1" customWidth="1"/>
    <col min="3611" max="3611" width="63.85546875" style="1" customWidth="1"/>
    <col min="3612" max="3612" width="13.28515625" style="1" customWidth="1"/>
    <col min="3613" max="3798" width="9.140625" style="1"/>
    <col min="3799" max="3800" width="0" style="1" hidden="1" customWidth="1"/>
    <col min="3801" max="3801" width="13.7109375" style="1" customWidth="1"/>
    <col min="3802" max="3802" width="52.85546875" style="1" customWidth="1"/>
    <col min="3803" max="3842" width="0" style="1" hidden="1" customWidth="1"/>
    <col min="3843" max="3844" width="14.85546875" style="1" customWidth="1"/>
    <col min="3845" max="3846" width="0" style="1" hidden="1" customWidth="1"/>
    <col min="3847" max="3847" width="14.85546875" style="1" customWidth="1"/>
    <col min="3848" max="3849" width="0" style="1" hidden="1" customWidth="1"/>
    <col min="3850" max="3850" width="14.85546875" style="1" customWidth="1"/>
    <col min="3851" max="3852" width="0" style="1" hidden="1" customWidth="1"/>
    <col min="3853" max="3853" width="14.85546875" style="1" customWidth="1"/>
    <col min="3854" max="3855" width="0" style="1" hidden="1" customWidth="1"/>
    <col min="3856" max="3856" width="14.85546875" style="1" customWidth="1"/>
    <col min="3857" max="3858" width="0" style="1" hidden="1" customWidth="1"/>
    <col min="3859" max="3860" width="14.85546875" style="1" customWidth="1"/>
    <col min="3861" max="3861" width="44.42578125" style="1" customWidth="1"/>
    <col min="3862" max="3866" width="14.85546875" style="1" customWidth="1"/>
    <col min="3867" max="3867" width="63.85546875" style="1" customWidth="1"/>
    <col min="3868" max="3868" width="13.28515625" style="1" customWidth="1"/>
    <col min="3869" max="4054" width="9.140625" style="1"/>
    <col min="4055" max="4056" width="0" style="1" hidden="1" customWidth="1"/>
    <col min="4057" max="4057" width="13.7109375" style="1" customWidth="1"/>
    <col min="4058" max="4058" width="52.85546875" style="1" customWidth="1"/>
    <col min="4059" max="4098" width="0" style="1" hidden="1" customWidth="1"/>
    <col min="4099" max="4100" width="14.85546875" style="1" customWidth="1"/>
    <col min="4101" max="4102" width="0" style="1" hidden="1" customWidth="1"/>
    <col min="4103" max="4103" width="14.85546875" style="1" customWidth="1"/>
    <col min="4104" max="4105" width="0" style="1" hidden="1" customWidth="1"/>
    <col min="4106" max="4106" width="14.85546875" style="1" customWidth="1"/>
    <col min="4107" max="4108" width="0" style="1" hidden="1" customWidth="1"/>
    <col min="4109" max="4109" width="14.85546875" style="1" customWidth="1"/>
    <col min="4110" max="4111" width="0" style="1" hidden="1" customWidth="1"/>
    <col min="4112" max="4112" width="14.85546875" style="1" customWidth="1"/>
    <col min="4113" max="4114" width="0" style="1" hidden="1" customWidth="1"/>
    <col min="4115" max="4116" width="14.85546875" style="1" customWidth="1"/>
    <col min="4117" max="4117" width="44.42578125" style="1" customWidth="1"/>
    <col min="4118" max="4122" width="14.85546875" style="1" customWidth="1"/>
    <col min="4123" max="4123" width="63.85546875" style="1" customWidth="1"/>
    <col min="4124" max="4124" width="13.28515625" style="1" customWidth="1"/>
    <col min="4125" max="4310" width="9.140625" style="1"/>
    <col min="4311" max="4312" width="0" style="1" hidden="1" customWidth="1"/>
    <col min="4313" max="4313" width="13.7109375" style="1" customWidth="1"/>
    <col min="4314" max="4314" width="52.85546875" style="1" customWidth="1"/>
    <col min="4315" max="4354" width="0" style="1" hidden="1" customWidth="1"/>
    <col min="4355" max="4356" width="14.85546875" style="1" customWidth="1"/>
    <col min="4357" max="4358" width="0" style="1" hidden="1" customWidth="1"/>
    <col min="4359" max="4359" width="14.85546875" style="1" customWidth="1"/>
    <col min="4360" max="4361" width="0" style="1" hidden="1" customWidth="1"/>
    <col min="4362" max="4362" width="14.85546875" style="1" customWidth="1"/>
    <col min="4363" max="4364" width="0" style="1" hidden="1" customWidth="1"/>
    <col min="4365" max="4365" width="14.85546875" style="1" customWidth="1"/>
    <col min="4366" max="4367" width="0" style="1" hidden="1" customWidth="1"/>
    <col min="4368" max="4368" width="14.85546875" style="1" customWidth="1"/>
    <col min="4369" max="4370" width="0" style="1" hidden="1" customWidth="1"/>
    <col min="4371" max="4372" width="14.85546875" style="1" customWidth="1"/>
    <col min="4373" max="4373" width="44.42578125" style="1" customWidth="1"/>
    <col min="4374" max="4378" width="14.85546875" style="1" customWidth="1"/>
    <col min="4379" max="4379" width="63.85546875" style="1" customWidth="1"/>
    <col min="4380" max="4380" width="13.28515625" style="1" customWidth="1"/>
    <col min="4381" max="4566" width="9.140625" style="1"/>
    <col min="4567" max="4568" width="0" style="1" hidden="1" customWidth="1"/>
    <col min="4569" max="4569" width="13.7109375" style="1" customWidth="1"/>
    <col min="4570" max="4570" width="52.85546875" style="1" customWidth="1"/>
    <col min="4571" max="4610" width="0" style="1" hidden="1" customWidth="1"/>
    <col min="4611" max="4612" width="14.85546875" style="1" customWidth="1"/>
    <col min="4613" max="4614" width="0" style="1" hidden="1" customWidth="1"/>
    <col min="4615" max="4615" width="14.85546875" style="1" customWidth="1"/>
    <col min="4616" max="4617" width="0" style="1" hidden="1" customWidth="1"/>
    <col min="4618" max="4618" width="14.85546875" style="1" customWidth="1"/>
    <col min="4619" max="4620" width="0" style="1" hidden="1" customWidth="1"/>
    <col min="4621" max="4621" width="14.85546875" style="1" customWidth="1"/>
    <col min="4622" max="4623" width="0" style="1" hidden="1" customWidth="1"/>
    <col min="4624" max="4624" width="14.85546875" style="1" customWidth="1"/>
    <col min="4625" max="4626" width="0" style="1" hidden="1" customWidth="1"/>
    <col min="4627" max="4628" width="14.85546875" style="1" customWidth="1"/>
    <col min="4629" max="4629" width="44.42578125" style="1" customWidth="1"/>
    <col min="4630" max="4634" width="14.85546875" style="1" customWidth="1"/>
    <col min="4635" max="4635" width="63.85546875" style="1" customWidth="1"/>
    <col min="4636" max="4636" width="13.28515625" style="1" customWidth="1"/>
    <col min="4637" max="4822" width="9.140625" style="1"/>
    <col min="4823" max="4824" width="0" style="1" hidden="1" customWidth="1"/>
    <col min="4825" max="4825" width="13.7109375" style="1" customWidth="1"/>
    <col min="4826" max="4826" width="52.85546875" style="1" customWidth="1"/>
    <col min="4827" max="4866" width="0" style="1" hidden="1" customWidth="1"/>
    <col min="4867" max="4868" width="14.85546875" style="1" customWidth="1"/>
    <col min="4869" max="4870" width="0" style="1" hidden="1" customWidth="1"/>
    <col min="4871" max="4871" width="14.85546875" style="1" customWidth="1"/>
    <col min="4872" max="4873" width="0" style="1" hidden="1" customWidth="1"/>
    <col min="4874" max="4874" width="14.85546875" style="1" customWidth="1"/>
    <col min="4875" max="4876" width="0" style="1" hidden="1" customWidth="1"/>
    <col min="4877" max="4877" width="14.85546875" style="1" customWidth="1"/>
    <col min="4878" max="4879" width="0" style="1" hidden="1" customWidth="1"/>
    <col min="4880" max="4880" width="14.85546875" style="1" customWidth="1"/>
    <col min="4881" max="4882" width="0" style="1" hidden="1" customWidth="1"/>
    <col min="4883" max="4884" width="14.85546875" style="1" customWidth="1"/>
    <col min="4885" max="4885" width="44.42578125" style="1" customWidth="1"/>
    <col min="4886" max="4890" width="14.85546875" style="1" customWidth="1"/>
    <col min="4891" max="4891" width="63.85546875" style="1" customWidth="1"/>
    <col min="4892" max="4892" width="13.28515625" style="1" customWidth="1"/>
    <col min="4893" max="5078" width="9.140625" style="1"/>
    <col min="5079" max="5080" width="0" style="1" hidden="1" customWidth="1"/>
    <col min="5081" max="5081" width="13.7109375" style="1" customWidth="1"/>
    <col min="5082" max="5082" width="52.85546875" style="1" customWidth="1"/>
    <col min="5083" max="5122" width="0" style="1" hidden="1" customWidth="1"/>
    <col min="5123" max="5124" width="14.85546875" style="1" customWidth="1"/>
    <col min="5125" max="5126" width="0" style="1" hidden="1" customWidth="1"/>
    <col min="5127" max="5127" width="14.85546875" style="1" customWidth="1"/>
    <col min="5128" max="5129" width="0" style="1" hidden="1" customWidth="1"/>
    <col min="5130" max="5130" width="14.85546875" style="1" customWidth="1"/>
    <col min="5131" max="5132" width="0" style="1" hidden="1" customWidth="1"/>
    <col min="5133" max="5133" width="14.85546875" style="1" customWidth="1"/>
    <col min="5134" max="5135" width="0" style="1" hidden="1" customWidth="1"/>
    <col min="5136" max="5136" width="14.85546875" style="1" customWidth="1"/>
    <col min="5137" max="5138" width="0" style="1" hidden="1" customWidth="1"/>
    <col min="5139" max="5140" width="14.85546875" style="1" customWidth="1"/>
    <col min="5141" max="5141" width="44.42578125" style="1" customWidth="1"/>
    <col min="5142" max="5146" width="14.85546875" style="1" customWidth="1"/>
    <col min="5147" max="5147" width="63.85546875" style="1" customWidth="1"/>
    <col min="5148" max="5148" width="13.28515625" style="1" customWidth="1"/>
    <col min="5149" max="5334" width="9.140625" style="1"/>
    <col min="5335" max="5336" width="0" style="1" hidden="1" customWidth="1"/>
    <col min="5337" max="5337" width="13.7109375" style="1" customWidth="1"/>
    <col min="5338" max="5338" width="52.85546875" style="1" customWidth="1"/>
    <col min="5339" max="5378" width="0" style="1" hidden="1" customWidth="1"/>
    <col min="5379" max="5380" width="14.85546875" style="1" customWidth="1"/>
    <col min="5381" max="5382" width="0" style="1" hidden="1" customWidth="1"/>
    <col min="5383" max="5383" width="14.85546875" style="1" customWidth="1"/>
    <col min="5384" max="5385" width="0" style="1" hidden="1" customWidth="1"/>
    <col min="5386" max="5386" width="14.85546875" style="1" customWidth="1"/>
    <col min="5387" max="5388" width="0" style="1" hidden="1" customWidth="1"/>
    <col min="5389" max="5389" width="14.85546875" style="1" customWidth="1"/>
    <col min="5390" max="5391" width="0" style="1" hidden="1" customWidth="1"/>
    <col min="5392" max="5392" width="14.85546875" style="1" customWidth="1"/>
    <col min="5393" max="5394" width="0" style="1" hidden="1" customWidth="1"/>
    <col min="5395" max="5396" width="14.85546875" style="1" customWidth="1"/>
    <col min="5397" max="5397" width="44.42578125" style="1" customWidth="1"/>
    <col min="5398" max="5402" width="14.85546875" style="1" customWidth="1"/>
    <col min="5403" max="5403" width="63.85546875" style="1" customWidth="1"/>
    <col min="5404" max="5404" width="13.28515625" style="1" customWidth="1"/>
    <col min="5405" max="5590" width="9.140625" style="1"/>
    <col min="5591" max="5592" width="0" style="1" hidden="1" customWidth="1"/>
    <col min="5593" max="5593" width="13.7109375" style="1" customWidth="1"/>
    <col min="5594" max="5594" width="52.85546875" style="1" customWidth="1"/>
    <col min="5595" max="5634" width="0" style="1" hidden="1" customWidth="1"/>
    <col min="5635" max="5636" width="14.85546875" style="1" customWidth="1"/>
    <col min="5637" max="5638" width="0" style="1" hidden="1" customWidth="1"/>
    <col min="5639" max="5639" width="14.85546875" style="1" customWidth="1"/>
    <col min="5640" max="5641" width="0" style="1" hidden="1" customWidth="1"/>
    <col min="5642" max="5642" width="14.85546875" style="1" customWidth="1"/>
    <col min="5643" max="5644" width="0" style="1" hidden="1" customWidth="1"/>
    <col min="5645" max="5645" width="14.85546875" style="1" customWidth="1"/>
    <col min="5646" max="5647" width="0" style="1" hidden="1" customWidth="1"/>
    <col min="5648" max="5648" width="14.85546875" style="1" customWidth="1"/>
    <col min="5649" max="5650" width="0" style="1" hidden="1" customWidth="1"/>
    <col min="5651" max="5652" width="14.85546875" style="1" customWidth="1"/>
    <col min="5653" max="5653" width="44.42578125" style="1" customWidth="1"/>
    <col min="5654" max="5658" width="14.85546875" style="1" customWidth="1"/>
    <col min="5659" max="5659" width="63.85546875" style="1" customWidth="1"/>
    <col min="5660" max="5660" width="13.28515625" style="1" customWidth="1"/>
    <col min="5661" max="5846" width="9.140625" style="1"/>
    <col min="5847" max="5848" width="0" style="1" hidden="1" customWidth="1"/>
    <col min="5849" max="5849" width="13.7109375" style="1" customWidth="1"/>
    <col min="5850" max="5850" width="52.85546875" style="1" customWidth="1"/>
    <col min="5851" max="5890" width="0" style="1" hidden="1" customWidth="1"/>
    <col min="5891" max="5892" width="14.85546875" style="1" customWidth="1"/>
    <col min="5893" max="5894" width="0" style="1" hidden="1" customWidth="1"/>
    <col min="5895" max="5895" width="14.85546875" style="1" customWidth="1"/>
    <col min="5896" max="5897" width="0" style="1" hidden="1" customWidth="1"/>
    <col min="5898" max="5898" width="14.85546875" style="1" customWidth="1"/>
    <col min="5899" max="5900" width="0" style="1" hidden="1" customWidth="1"/>
    <col min="5901" max="5901" width="14.85546875" style="1" customWidth="1"/>
    <col min="5902" max="5903" width="0" style="1" hidden="1" customWidth="1"/>
    <col min="5904" max="5904" width="14.85546875" style="1" customWidth="1"/>
    <col min="5905" max="5906" width="0" style="1" hidden="1" customWidth="1"/>
    <col min="5907" max="5908" width="14.85546875" style="1" customWidth="1"/>
    <col min="5909" max="5909" width="44.42578125" style="1" customWidth="1"/>
    <col min="5910" max="5914" width="14.85546875" style="1" customWidth="1"/>
    <col min="5915" max="5915" width="63.85546875" style="1" customWidth="1"/>
    <col min="5916" max="5916" width="13.28515625" style="1" customWidth="1"/>
    <col min="5917" max="6102" width="9.140625" style="1"/>
    <col min="6103" max="6104" width="0" style="1" hidden="1" customWidth="1"/>
    <col min="6105" max="6105" width="13.7109375" style="1" customWidth="1"/>
    <col min="6106" max="6106" width="52.85546875" style="1" customWidth="1"/>
    <col min="6107" max="6146" width="0" style="1" hidden="1" customWidth="1"/>
    <col min="6147" max="6148" width="14.85546875" style="1" customWidth="1"/>
    <col min="6149" max="6150" width="0" style="1" hidden="1" customWidth="1"/>
    <col min="6151" max="6151" width="14.85546875" style="1" customWidth="1"/>
    <col min="6152" max="6153" width="0" style="1" hidden="1" customWidth="1"/>
    <col min="6154" max="6154" width="14.85546875" style="1" customWidth="1"/>
    <col min="6155" max="6156" width="0" style="1" hidden="1" customWidth="1"/>
    <col min="6157" max="6157" width="14.85546875" style="1" customWidth="1"/>
    <col min="6158" max="6159" width="0" style="1" hidden="1" customWidth="1"/>
    <col min="6160" max="6160" width="14.85546875" style="1" customWidth="1"/>
    <col min="6161" max="6162" width="0" style="1" hidden="1" customWidth="1"/>
    <col min="6163" max="6164" width="14.85546875" style="1" customWidth="1"/>
    <col min="6165" max="6165" width="44.42578125" style="1" customWidth="1"/>
    <col min="6166" max="6170" width="14.85546875" style="1" customWidth="1"/>
    <col min="6171" max="6171" width="63.85546875" style="1" customWidth="1"/>
    <col min="6172" max="6172" width="13.28515625" style="1" customWidth="1"/>
    <col min="6173" max="6358" width="9.140625" style="1"/>
    <col min="6359" max="6360" width="0" style="1" hidden="1" customWidth="1"/>
    <col min="6361" max="6361" width="13.7109375" style="1" customWidth="1"/>
    <col min="6362" max="6362" width="52.85546875" style="1" customWidth="1"/>
    <col min="6363" max="6402" width="0" style="1" hidden="1" customWidth="1"/>
    <col min="6403" max="6404" width="14.85546875" style="1" customWidth="1"/>
    <col min="6405" max="6406" width="0" style="1" hidden="1" customWidth="1"/>
    <col min="6407" max="6407" width="14.85546875" style="1" customWidth="1"/>
    <col min="6408" max="6409" width="0" style="1" hidden="1" customWidth="1"/>
    <col min="6410" max="6410" width="14.85546875" style="1" customWidth="1"/>
    <col min="6411" max="6412" width="0" style="1" hidden="1" customWidth="1"/>
    <col min="6413" max="6413" width="14.85546875" style="1" customWidth="1"/>
    <col min="6414" max="6415" width="0" style="1" hidden="1" customWidth="1"/>
    <col min="6416" max="6416" width="14.85546875" style="1" customWidth="1"/>
    <col min="6417" max="6418" width="0" style="1" hidden="1" customWidth="1"/>
    <col min="6419" max="6420" width="14.85546875" style="1" customWidth="1"/>
    <col min="6421" max="6421" width="44.42578125" style="1" customWidth="1"/>
    <col min="6422" max="6426" width="14.85546875" style="1" customWidth="1"/>
    <col min="6427" max="6427" width="63.85546875" style="1" customWidth="1"/>
    <col min="6428" max="6428" width="13.28515625" style="1" customWidth="1"/>
    <col min="6429" max="6614" width="9.140625" style="1"/>
    <col min="6615" max="6616" width="0" style="1" hidden="1" customWidth="1"/>
    <col min="6617" max="6617" width="13.7109375" style="1" customWidth="1"/>
    <col min="6618" max="6618" width="52.85546875" style="1" customWidth="1"/>
    <col min="6619" max="6658" width="0" style="1" hidden="1" customWidth="1"/>
    <col min="6659" max="6660" width="14.85546875" style="1" customWidth="1"/>
    <col min="6661" max="6662" width="0" style="1" hidden="1" customWidth="1"/>
    <col min="6663" max="6663" width="14.85546875" style="1" customWidth="1"/>
    <col min="6664" max="6665" width="0" style="1" hidden="1" customWidth="1"/>
    <col min="6666" max="6666" width="14.85546875" style="1" customWidth="1"/>
    <col min="6667" max="6668" width="0" style="1" hidden="1" customWidth="1"/>
    <col min="6669" max="6669" width="14.85546875" style="1" customWidth="1"/>
    <col min="6670" max="6671" width="0" style="1" hidden="1" customWidth="1"/>
    <col min="6672" max="6672" width="14.85546875" style="1" customWidth="1"/>
    <col min="6673" max="6674" width="0" style="1" hidden="1" customWidth="1"/>
    <col min="6675" max="6676" width="14.85546875" style="1" customWidth="1"/>
    <col min="6677" max="6677" width="44.42578125" style="1" customWidth="1"/>
    <col min="6678" max="6682" width="14.85546875" style="1" customWidth="1"/>
    <col min="6683" max="6683" width="63.85546875" style="1" customWidth="1"/>
    <col min="6684" max="6684" width="13.28515625" style="1" customWidth="1"/>
    <col min="6685" max="6870" width="9.140625" style="1"/>
    <col min="6871" max="6872" width="0" style="1" hidden="1" customWidth="1"/>
    <col min="6873" max="6873" width="13.7109375" style="1" customWidth="1"/>
    <col min="6874" max="6874" width="52.85546875" style="1" customWidth="1"/>
    <col min="6875" max="6914" width="0" style="1" hidden="1" customWidth="1"/>
    <col min="6915" max="6916" width="14.85546875" style="1" customWidth="1"/>
    <col min="6917" max="6918" width="0" style="1" hidden="1" customWidth="1"/>
    <col min="6919" max="6919" width="14.85546875" style="1" customWidth="1"/>
    <col min="6920" max="6921" width="0" style="1" hidden="1" customWidth="1"/>
    <col min="6922" max="6922" width="14.85546875" style="1" customWidth="1"/>
    <col min="6923" max="6924" width="0" style="1" hidden="1" customWidth="1"/>
    <col min="6925" max="6925" width="14.85546875" style="1" customWidth="1"/>
    <col min="6926" max="6927" width="0" style="1" hidden="1" customWidth="1"/>
    <col min="6928" max="6928" width="14.85546875" style="1" customWidth="1"/>
    <col min="6929" max="6930" width="0" style="1" hidden="1" customWidth="1"/>
    <col min="6931" max="6932" width="14.85546875" style="1" customWidth="1"/>
    <col min="6933" max="6933" width="44.42578125" style="1" customWidth="1"/>
    <col min="6934" max="6938" width="14.85546875" style="1" customWidth="1"/>
    <col min="6939" max="6939" width="63.85546875" style="1" customWidth="1"/>
    <col min="6940" max="6940" width="13.28515625" style="1" customWidth="1"/>
    <col min="6941" max="7126" width="9.140625" style="1"/>
    <col min="7127" max="7128" width="0" style="1" hidden="1" customWidth="1"/>
    <col min="7129" max="7129" width="13.7109375" style="1" customWidth="1"/>
    <col min="7130" max="7130" width="52.85546875" style="1" customWidth="1"/>
    <col min="7131" max="7170" width="0" style="1" hidden="1" customWidth="1"/>
    <col min="7171" max="7172" width="14.85546875" style="1" customWidth="1"/>
    <col min="7173" max="7174" width="0" style="1" hidden="1" customWidth="1"/>
    <col min="7175" max="7175" width="14.85546875" style="1" customWidth="1"/>
    <col min="7176" max="7177" width="0" style="1" hidden="1" customWidth="1"/>
    <col min="7178" max="7178" width="14.85546875" style="1" customWidth="1"/>
    <col min="7179" max="7180" width="0" style="1" hidden="1" customWidth="1"/>
    <col min="7181" max="7181" width="14.85546875" style="1" customWidth="1"/>
    <col min="7182" max="7183" width="0" style="1" hidden="1" customWidth="1"/>
    <col min="7184" max="7184" width="14.85546875" style="1" customWidth="1"/>
    <col min="7185" max="7186" width="0" style="1" hidden="1" customWidth="1"/>
    <col min="7187" max="7188" width="14.85546875" style="1" customWidth="1"/>
    <col min="7189" max="7189" width="44.42578125" style="1" customWidth="1"/>
    <col min="7190" max="7194" width="14.85546875" style="1" customWidth="1"/>
    <col min="7195" max="7195" width="63.85546875" style="1" customWidth="1"/>
    <col min="7196" max="7196" width="13.28515625" style="1" customWidth="1"/>
    <col min="7197" max="7382" width="9.140625" style="1"/>
    <col min="7383" max="7384" width="0" style="1" hidden="1" customWidth="1"/>
    <col min="7385" max="7385" width="13.7109375" style="1" customWidth="1"/>
    <col min="7386" max="7386" width="52.85546875" style="1" customWidth="1"/>
    <col min="7387" max="7426" width="0" style="1" hidden="1" customWidth="1"/>
    <col min="7427" max="7428" width="14.85546875" style="1" customWidth="1"/>
    <col min="7429" max="7430" width="0" style="1" hidden="1" customWidth="1"/>
    <col min="7431" max="7431" width="14.85546875" style="1" customWidth="1"/>
    <col min="7432" max="7433" width="0" style="1" hidden="1" customWidth="1"/>
    <col min="7434" max="7434" width="14.85546875" style="1" customWidth="1"/>
    <col min="7435" max="7436" width="0" style="1" hidden="1" customWidth="1"/>
    <col min="7437" max="7437" width="14.85546875" style="1" customWidth="1"/>
    <col min="7438" max="7439" width="0" style="1" hidden="1" customWidth="1"/>
    <col min="7440" max="7440" width="14.85546875" style="1" customWidth="1"/>
    <col min="7441" max="7442" width="0" style="1" hidden="1" customWidth="1"/>
    <col min="7443" max="7444" width="14.85546875" style="1" customWidth="1"/>
    <col min="7445" max="7445" width="44.42578125" style="1" customWidth="1"/>
    <col min="7446" max="7450" width="14.85546875" style="1" customWidth="1"/>
    <col min="7451" max="7451" width="63.85546875" style="1" customWidth="1"/>
    <col min="7452" max="7452" width="13.28515625" style="1" customWidth="1"/>
    <col min="7453" max="7638" width="9.140625" style="1"/>
    <col min="7639" max="7640" width="0" style="1" hidden="1" customWidth="1"/>
    <col min="7641" max="7641" width="13.7109375" style="1" customWidth="1"/>
    <col min="7642" max="7642" width="52.85546875" style="1" customWidth="1"/>
    <col min="7643" max="7682" width="0" style="1" hidden="1" customWidth="1"/>
    <col min="7683" max="7684" width="14.85546875" style="1" customWidth="1"/>
    <col min="7685" max="7686" width="0" style="1" hidden="1" customWidth="1"/>
    <col min="7687" max="7687" width="14.85546875" style="1" customWidth="1"/>
    <col min="7688" max="7689" width="0" style="1" hidden="1" customWidth="1"/>
    <col min="7690" max="7690" width="14.85546875" style="1" customWidth="1"/>
    <col min="7691" max="7692" width="0" style="1" hidden="1" customWidth="1"/>
    <col min="7693" max="7693" width="14.85546875" style="1" customWidth="1"/>
    <col min="7694" max="7695" width="0" style="1" hidden="1" customWidth="1"/>
    <col min="7696" max="7696" width="14.85546875" style="1" customWidth="1"/>
    <col min="7697" max="7698" width="0" style="1" hidden="1" customWidth="1"/>
    <col min="7699" max="7700" width="14.85546875" style="1" customWidth="1"/>
    <col min="7701" max="7701" width="44.42578125" style="1" customWidth="1"/>
    <col min="7702" max="7706" width="14.85546875" style="1" customWidth="1"/>
    <col min="7707" max="7707" width="63.85546875" style="1" customWidth="1"/>
    <col min="7708" max="7708" width="13.28515625" style="1" customWidth="1"/>
    <col min="7709" max="7894" width="9.140625" style="1"/>
    <col min="7895" max="7896" width="0" style="1" hidden="1" customWidth="1"/>
    <col min="7897" max="7897" width="13.7109375" style="1" customWidth="1"/>
    <col min="7898" max="7898" width="52.85546875" style="1" customWidth="1"/>
    <col min="7899" max="7938" width="0" style="1" hidden="1" customWidth="1"/>
    <col min="7939" max="7940" width="14.85546875" style="1" customWidth="1"/>
    <col min="7941" max="7942" width="0" style="1" hidden="1" customWidth="1"/>
    <col min="7943" max="7943" width="14.85546875" style="1" customWidth="1"/>
    <col min="7944" max="7945" width="0" style="1" hidden="1" customWidth="1"/>
    <col min="7946" max="7946" width="14.85546875" style="1" customWidth="1"/>
    <col min="7947" max="7948" width="0" style="1" hidden="1" customWidth="1"/>
    <col min="7949" max="7949" width="14.85546875" style="1" customWidth="1"/>
    <col min="7950" max="7951" width="0" style="1" hidden="1" customWidth="1"/>
    <col min="7952" max="7952" width="14.85546875" style="1" customWidth="1"/>
    <col min="7953" max="7954" width="0" style="1" hidden="1" customWidth="1"/>
    <col min="7955" max="7956" width="14.85546875" style="1" customWidth="1"/>
    <col min="7957" max="7957" width="44.42578125" style="1" customWidth="1"/>
    <col min="7958" max="7962" width="14.85546875" style="1" customWidth="1"/>
    <col min="7963" max="7963" width="63.85546875" style="1" customWidth="1"/>
    <col min="7964" max="7964" width="13.28515625" style="1" customWidth="1"/>
    <col min="7965" max="8150" width="9.140625" style="1"/>
    <col min="8151" max="8152" width="0" style="1" hidden="1" customWidth="1"/>
    <col min="8153" max="8153" width="13.7109375" style="1" customWidth="1"/>
    <col min="8154" max="8154" width="52.85546875" style="1" customWidth="1"/>
    <col min="8155" max="8194" width="0" style="1" hidden="1" customWidth="1"/>
    <col min="8195" max="8196" width="14.85546875" style="1" customWidth="1"/>
    <col min="8197" max="8198" width="0" style="1" hidden="1" customWidth="1"/>
    <col min="8199" max="8199" width="14.85546875" style="1" customWidth="1"/>
    <col min="8200" max="8201" width="0" style="1" hidden="1" customWidth="1"/>
    <col min="8202" max="8202" width="14.85546875" style="1" customWidth="1"/>
    <col min="8203" max="8204" width="0" style="1" hidden="1" customWidth="1"/>
    <col min="8205" max="8205" width="14.85546875" style="1" customWidth="1"/>
    <col min="8206" max="8207" width="0" style="1" hidden="1" customWidth="1"/>
    <col min="8208" max="8208" width="14.85546875" style="1" customWidth="1"/>
    <col min="8209" max="8210" width="0" style="1" hidden="1" customWidth="1"/>
    <col min="8211" max="8212" width="14.85546875" style="1" customWidth="1"/>
    <col min="8213" max="8213" width="44.42578125" style="1" customWidth="1"/>
    <col min="8214" max="8218" width="14.85546875" style="1" customWidth="1"/>
    <col min="8219" max="8219" width="63.85546875" style="1" customWidth="1"/>
    <col min="8220" max="8220" width="13.28515625" style="1" customWidth="1"/>
    <col min="8221" max="8406" width="9.140625" style="1"/>
    <col min="8407" max="8408" width="0" style="1" hidden="1" customWidth="1"/>
    <col min="8409" max="8409" width="13.7109375" style="1" customWidth="1"/>
    <col min="8410" max="8410" width="52.85546875" style="1" customWidth="1"/>
    <col min="8411" max="8450" width="0" style="1" hidden="1" customWidth="1"/>
    <col min="8451" max="8452" width="14.85546875" style="1" customWidth="1"/>
    <col min="8453" max="8454" width="0" style="1" hidden="1" customWidth="1"/>
    <col min="8455" max="8455" width="14.85546875" style="1" customWidth="1"/>
    <col min="8456" max="8457" width="0" style="1" hidden="1" customWidth="1"/>
    <col min="8458" max="8458" width="14.85546875" style="1" customWidth="1"/>
    <col min="8459" max="8460" width="0" style="1" hidden="1" customWidth="1"/>
    <col min="8461" max="8461" width="14.85546875" style="1" customWidth="1"/>
    <col min="8462" max="8463" width="0" style="1" hidden="1" customWidth="1"/>
    <col min="8464" max="8464" width="14.85546875" style="1" customWidth="1"/>
    <col min="8465" max="8466" width="0" style="1" hidden="1" customWidth="1"/>
    <col min="8467" max="8468" width="14.85546875" style="1" customWidth="1"/>
    <col min="8469" max="8469" width="44.42578125" style="1" customWidth="1"/>
    <col min="8470" max="8474" width="14.85546875" style="1" customWidth="1"/>
    <col min="8475" max="8475" width="63.85546875" style="1" customWidth="1"/>
    <col min="8476" max="8476" width="13.28515625" style="1" customWidth="1"/>
    <col min="8477" max="8662" width="9.140625" style="1"/>
    <col min="8663" max="8664" width="0" style="1" hidden="1" customWidth="1"/>
    <col min="8665" max="8665" width="13.7109375" style="1" customWidth="1"/>
    <col min="8666" max="8666" width="52.85546875" style="1" customWidth="1"/>
    <col min="8667" max="8706" width="0" style="1" hidden="1" customWidth="1"/>
    <col min="8707" max="8708" width="14.85546875" style="1" customWidth="1"/>
    <col min="8709" max="8710" width="0" style="1" hidden="1" customWidth="1"/>
    <col min="8711" max="8711" width="14.85546875" style="1" customWidth="1"/>
    <col min="8712" max="8713" width="0" style="1" hidden="1" customWidth="1"/>
    <col min="8714" max="8714" width="14.85546875" style="1" customWidth="1"/>
    <col min="8715" max="8716" width="0" style="1" hidden="1" customWidth="1"/>
    <col min="8717" max="8717" width="14.85546875" style="1" customWidth="1"/>
    <col min="8718" max="8719" width="0" style="1" hidden="1" customWidth="1"/>
    <col min="8720" max="8720" width="14.85546875" style="1" customWidth="1"/>
    <col min="8721" max="8722" width="0" style="1" hidden="1" customWidth="1"/>
    <col min="8723" max="8724" width="14.85546875" style="1" customWidth="1"/>
    <col min="8725" max="8725" width="44.42578125" style="1" customWidth="1"/>
    <col min="8726" max="8730" width="14.85546875" style="1" customWidth="1"/>
    <col min="8731" max="8731" width="63.85546875" style="1" customWidth="1"/>
    <col min="8732" max="8732" width="13.28515625" style="1" customWidth="1"/>
    <col min="8733" max="8918" width="9.140625" style="1"/>
    <col min="8919" max="8920" width="0" style="1" hidden="1" customWidth="1"/>
    <col min="8921" max="8921" width="13.7109375" style="1" customWidth="1"/>
    <col min="8922" max="8922" width="52.85546875" style="1" customWidth="1"/>
    <col min="8923" max="8962" width="0" style="1" hidden="1" customWidth="1"/>
    <col min="8963" max="8964" width="14.85546875" style="1" customWidth="1"/>
    <col min="8965" max="8966" width="0" style="1" hidden="1" customWidth="1"/>
    <col min="8967" max="8967" width="14.85546875" style="1" customWidth="1"/>
    <col min="8968" max="8969" width="0" style="1" hidden="1" customWidth="1"/>
    <col min="8970" max="8970" width="14.85546875" style="1" customWidth="1"/>
    <col min="8971" max="8972" width="0" style="1" hidden="1" customWidth="1"/>
    <col min="8973" max="8973" width="14.85546875" style="1" customWidth="1"/>
    <col min="8974" max="8975" width="0" style="1" hidden="1" customWidth="1"/>
    <col min="8976" max="8976" width="14.85546875" style="1" customWidth="1"/>
    <col min="8977" max="8978" width="0" style="1" hidden="1" customWidth="1"/>
    <col min="8979" max="8980" width="14.85546875" style="1" customWidth="1"/>
    <col min="8981" max="8981" width="44.42578125" style="1" customWidth="1"/>
    <col min="8982" max="8986" width="14.85546875" style="1" customWidth="1"/>
    <col min="8987" max="8987" width="63.85546875" style="1" customWidth="1"/>
    <col min="8988" max="8988" width="13.28515625" style="1" customWidth="1"/>
    <col min="8989" max="9174" width="9.140625" style="1"/>
    <col min="9175" max="9176" width="0" style="1" hidden="1" customWidth="1"/>
    <col min="9177" max="9177" width="13.7109375" style="1" customWidth="1"/>
    <col min="9178" max="9178" width="52.85546875" style="1" customWidth="1"/>
    <col min="9179" max="9218" width="0" style="1" hidden="1" customWidth="1"/>
    <col min="9219" max="9220" width="14.85546875" style="1" customWidth="1"/>
    <col min="9221" max="9222" width="0" style="1" hidden="1" customWidth="1"/>
    <col min="9223" max="9223" width="14.85546875" style="1" customWidth="1"/>
    <col min="9224" max="9225" width="0" style="1" hidden="1" customWidth="1"/>
    <col min="9226" max="9226" width="14.85546875" style="1" customWidth="1"/>
    <col min="9227" max="9228" width="0" style="1" hidden="1" customWidth="1"/>
    <col min="9229" max="9229" width="14.85546875" style="1" customWidth="1"/>
    <col min="9230" max="9231" width="0" style="1" hidden="1" customWidth="1"/>
    <col min="9232" max="9232" width="14.85546875" style="1" customWidth="1"/>
    <col min="9233" max="9234" width="0" style="1" hidden="1" customWidth="1"/>
    <col min="9235" max="9236" width="14.85546875" style="1" customWidth="1"/>
    <col min="9237" max="9237" width="44.42578125" style="1" customWidth="1"/>
    <col min="9238" max="9242" width="14.85546875" style="1" customWidth="1"/>
    <col min="9243" max="9243" width="63.85546875" style="1" customWidth="1"/>
    <col min="9244" max="9244" width="13.28515625" style="1" customWidth="1"/>
    <col min="9245" max="9430" width="9.140625" style="1"/>
    <col min="9431" max="9432" width="0" style="1" hidden="1" customWidth="1"/>
    <col min="9433" max="9433" width="13.7109375" style="1" customWidth="1"/>
    <col min="9434" max="9434" width="52.85546875" style="1" customWidth="1"/>
    <col min="9435" max="9474" width="0" style="1" hidden="1" customWidth="1"/>
    <col min="9475" max="9476" width="14.85546875" style="1" customWidth="1"/>
    <col min="9477" max="9478" width="0" style="1" hidden="1" customWidth="1"/>
    <col min="9479" max="9479" width="14.85546875" style="1" customWidth="1"/>
    <col min="9480" max="9481" width="0" style="1" hidden="1" customWidth="1"/>
    <col min="9482" max="9482" width="14.85546875" style="1" customWidth="1"/>
    <col min="9483" max="9484" width="0" style="1" hidden="1" customWidth="1"/>
    <col min="9485" max="9485" width="14.85546875" style="1" customWidth="1"/>
    <col min="9486" max="9487" width="0" style="1" hidden="1" customWidth="1"/>
    <col min="9488" max="9488" width="14.85546875" style="1" customWidth="1"/>
    <col min="9489" max="9490" width="0" style="1" hidden="1" customWidth="1"/>
    <col min="9491" max="9492" width="14.85546875" style="1" customWidth="1"/>
    <col min="9493" max="9493" width="44.42578125" style="1" customWidth="1"/>
    <col min="9494" max="9498" width="14.85546875" style="1" customWidth="1"/>
    <col min="9499" max="9499" width="63.85546875" style="1" customWidth="1"/>
    <col min="9500" max="9500" width="13.28515625" style="1" customWidth="1"/>
    <col min="9501" max="9686" width="9.140625" style="1"/>
    <col min="9687" max="9688" width="0" style="1" hidden="1" customWidth="1"/>
    <col min="9689" max="9689" width="13.7109375" style="1" customWidth="1"/>
    <col min="9690" max="9690" width="52.85546875" style="1" customWidth="1"/>
    <col min="9691" max="9730" width="0" style="1" hidden="1" customWidth="1"/>
    <col min="9731" max="9732" width="14.85546875" style="1" customWidth="1"/>
    <col min="9733" max="9734" width="0" style="1" hidden="1" customWidth="1"/>
    <col min="9735" max="9735" width="14.85546875" style="1" customWidth="1"/>
    <col min="9736" max="9737" width="0" style="1" hidden="1" customWidth="1"/>
    <col min="9738" max="9738" width="14.85546875" style="1" customWidth="1"/>
    <col min="9739" max="9740" width="0" style="1" hidden="1" customWidth="1"/>
    <col min="9741" max="9741" width="14.85546875" style="1" customWidth="1"/>
    <col min="9742" max="9743" width="0" style="1" hidden="1" customWidth="1"/>
    <col min="9744" max="9744" width="14.85546875" style="1" customWidth="1"/>
    <col min="9745" max="9746" width="0" style="1" hidden="1" customWidth="1"/>
    <col min="9747" max="9748" width="14.85546875" style="1" customWidth="1"/>
    <col min="9749" max="9749" width="44.42578125" style="1" customWidth="1"/>
    <col min="9750" max="9754" width="14.85546875" style="1" customWidth="1"/>
    <col min="9755" max="9755" width="63.85546875" style="1" customWidth="1"/>
    <col min="9756" max="9756" width="13.28515625" style="1" customWidth="1"/>
    <col min="9757" max="9942" width="9.140625" style="1"/>
    <col min="9943" max="9944" width="0" style="1" hidden="1" customWidth="1"/>
    <col min="9945" max="9945" width="13.7109375" style="1" customWidth="1"/>
    <col min="9946" max="9946" width="52.85546875" style="1" customWidth="1"/>
    <col min="9947" max="9986" width="0" style="1" hidden="1" customWidth="1"/>
    <col min="9987" max="9988" width="14.85546875" style="1" customWidth="1"/>
    <col min="9989" max="9990" width="0" style="1" hidden="1" customWidth="1"/>
    <col min="9991" max="9991" width="14.85546875" style="1" customWidth="1"/>
    <col min="9992" max="9993" width="0" style="1" hidden="1" customWidth="1"/>
    <col min="9994" max="9994" width="14.85546875" style="1" customWidth="1"/>
    <col min="9995" max="9996" width="0" style="1" hidden="1" customWidth="1"/>
    <col min="9997" max="9997" width="14.85546875" style="1" customWidth="1"/>
    <col min="9998" max="9999" width="0" style="1" hidden="1" customWidth="1"/>
    <col min="10000" max="10000" width="14.85546875" style="1" customWidth="1"/>
    <col min="10001" max="10002" width="0" style="1" hidden="1" customWidth="1"/>
    <col min="10003" max="10004" width="14.85546875" style="1" customWidth="1"/>
    <col min="10005" max="10005" width="44.42578125" style="1" customWidth="1"/>
    <col min="10006" max="10010" width="14.85546875" style="1" customWidth="1"/>
    <col min="10011" max="10011" width="63.85546875" style="1" customWidth="1"/>
    <col min="10012" max="10012" width="13.28515625" style="1" customWidth="1"/>
    <col min="10013" max="10198" width="9.140625" style="1"/>
    <col min="10199" max="10200" width="0" style="1" hidden="1" customWidth="1"/>
    <col min="10201" max="10201" width="13.7109375" style="1" customWidth="1"/>
    <col min="10202" max="10202" width="52.85546875" style="1" customWidth="1"/>
    <col min="10203" max="10242" width="0" style="1" hidden="1" customWidth="1"/>
    <col min="10243" max="10244" width="14.85546875" style="1" customWidth="1"/>
    <col min="10245" max="10246" width="0" style="1" hidden="1" customWidth="1"/>
    <col min="10247" max="10247" width="14.85546875" style="1" customWidth="1"/>
    <col min="10248" max="10249" width="0" style="1" hidden="1" customWidth="1"/>
    <col min="10250" max="10250" width="14.85546875" style="1" customWidth="1"/>
    <col min="10251" max="10252" width="0" style="1" hidden="1" customWidth="1"/>
    <col min="10253" max="10253" width="14.85546875" style="1" customWidth="1"/>
    <col min="10254" max="10255" width="0" style="1" hidden="1" customWidth="1"/>
    <col min="10256" max="10256" width="14.85546875" style="1" customWidth="1"/>
    <col min="10257" max="10258" width="0" style="1" hidden="1" customWidth="1"/>
    <col min="10259" max="10260" width="14.85546875" style="1" customWidth="1"/>
    <col min="10261" max="10261" width="44.42578125" style="1" customWidth="1"/>
    <col min="10262" max="10266" width="14.85546875" style="1" customWidth="1"/>
    <col min="10267" max="10267" width="63.85546875" style="1" customWidth="1"/>
    <col min="10268" max="10268" width="13.28515625" style="1" customWidth="1"/>
    <col min="10269" max="10454" width="9.140625" style="1"/>
    <col min="10455" max="10456" width="0" style="1" hidden="1" customWidth="1"/>
    <col min="10457" max="10457" width="13.7109375" style="1" customWidth="1"/>
    <col min="10458" max="10458" width="52.85546875" style="1" customWidth="1"/>
    <col min="10459" max="10498" width="0" style="1" hidden="1" customWidth="1"/>
    <col min="10499" max="10500" width="14.85546875" style="1" customWidth="1"/>
    <col min="10501" max="10502" width="0" style="1" hidden="1" customWidth="1"/>
    <col min="10503" max="10503" width="14.85546875" style="1" customWidth="1"/>
    <col min="10504" max="10505" width="0" style="1" hidden="1" customWidth="1"/>
    <col min="10506" max="10506" width="14.85546875" style="1" customWidth="1"/>
    <col min="10507" max="10508" width="0" style="1" hidden="1" customWidth="1"/>
    <col min="10509" max="10509" width="14.85546875" style="1" customWidth="1"/>
    <col min="10510" max="10511" width="0" style="1" hidden="1" customWidth="1"/>
    <col min="10512" max="10512" width="14.85546875" style="1" customWidth="1"/>
    <col min="10513" max="10514" width="0" style="1" hidden="1" customWidth="1"/>
    <col min="10515" max="10516" width="14.85546875" style="1" customWidth="1"/>
    <col min="10517" max="10517" width="44.42578125" style="1" customWidth="1"/>
    <col min="10518" max="10522" width="14.85546875" style="1" customWidth="1"/>
    <col min="10523" max="10523" width="63.85546875" style="1" customWidth="1"/>
    <col min="10524" max="10524" width="13.28515625" style="1" customWidth="1"/>
    <col min="10525" max="10710" width="9.140625" style="1"/>
    <col min="10711" max="10712" width="0" style="1" hidden="1" customWidth="1"/>
    <col min="10713" max="10713" width="13.7109375" style="1" customWidth="1"/>
    <col min="10714" max="10714" width="52.85546875" style="1" customWidth="1"/>
    <col min="10715" max="10754" width="0" style="1" hidden="1" customWidth="1"/>
    <col min="10755" max="10756" width="14.85546875" style="1" customWidth="1"/>
    <col min="10757" max="10758" width="0" style="1" hidden="1" customWidth="1"/>
    <col min="10759" max="10759" width="14.85546875" style="1" customWidth="1"/>
    <col min="10760" max="10761" width="0" style="1" hidden="1" customWidth="1"/>
    <col min="10762" max="10762" width="14.85546875" style="1" customWidth="1"/>
    <col min="10763" max="10764" width="0" style="1" hidden="1" customWidth="1"/>
    <col min="10765" max="10765" width="14.85546875" style="1" customWidth="1"/>
    <col min="10766" max="10767" width="0" style="1" hidden="1" customWidth="1"/>
    <col min="10768" max="10768" width="14.85546875" style="1" customWidth="1"/>
    <col min="10769" max="10770" width="0" style="1" hidden="1" customWidth="1"/>
    <col min="10771" max="10772" width="14.85546875" style="1" customWidth="1"/>
    <col min="10773" max="10773" width="44.42578125" style="1" customWidth="1"/>
    <col min="10774" max="10778" width="14.85546875" style="1" customWidth="1"/>
    <col min="10779" max="10779" width="63.85546875" style="1" customWidth="1"/>
    <col min="10780" max="10780" width="13.28515625" style="1" customWidth="1"/>
    <col min="10781" max="10966" width="9.140625" style="1"/>
    <col min="10967" max="10968" width="0" style="1" hidden="1" customWidth="1"/>
    <col min="10969" max="10969" width="13.7109375" style="1" customWidth="1"/>
    <col min="10970" max="10970" width="52.85546875" style="1" customWidth="1"/>
    <col min="10971" max="11010" width="0" style="1" hidden="1" customWidth="1"/>
    <col min="11011" max="11012" width="14.85546875" style="1" customWidth="1"/>
    <col min="11013" max="11014" width="0" style="1" hidden="1" customWidth="1"/>
    <col min="11015" max="11015" width="14.85546875" style="1" customWidth="1"/>
    <col min="11016" max="11017" width="0" style="1" hidden="1" customWidth="1"/>
    <col min="11018" max="11018" width="14.85546875" style="1" customWidth="1"/>
    <col min="11019" max="11020" width="0" style="1" hidden="1" customWidth="1"/>
    <col min="11021" max="11021" width="14.85546875" style="1" customWidth="1"/>
    <col min="11022" max="11023" width="0" style="1" hidden="1" customWidth="1"/>
    <col min="11024" max="11024" width="14.85546875" style="1" customWidth="1"/>
    <col min="11025" max="11026" width="0" style="1" hidden="1" customWidth="1"/>
    <col min="11027" max="11028" width="14.85546875" style="1" customWidth="1"/>
    <col min="11029" max="11029" width="44.42578125" style="1" customWidth="1"/>
    <col min="11030" max="11034" width="14.85546875" style="1" customWidth="1"/>
    <col min="11035" max="11035" width="63.85546875" style="1" customWidth="1"/>
    <col min="11036" max="11036" width="13.28515625" style="1" customWidth="1"/>
    <col min="11037" max="11222" width="9.140625" style="1"/>
    <col min="11223" max="11224" width="0" style="1" hidden="1" customWidth="1"/>
    <col min="11225" max="11225" width="13.7109375" style="1" customWidth="1"/>
    <col min="11226" max="11226" width="52.85546875" style="1" customWidth="1"/>
    <col min="11227" max="11266" width="0" style="1" hidden="1" customWidth="1"/>
    <col min="11267" max="11268" width="14.85546875" style="1" customWidth="1"/>
    <col min="11269" max="11270" width="0" style="1" hidden="1" customWidth="1"/>
    <col min="11271" max="11271" width="14.85546875" style="1" customWidth="1"/>
    <col min="11272" max="11273" width="0" style="1" hidden="1" customWidth="1"/>
    <col min="11274" max="11274" width="14.85546875" style="1" customWidth="1"/>
    <col min="11275" max="11276" width="0" style="1" hidden="1" customWidth="1"/>
    <col min="11277" max="11277" width="14.85546875" style="1" customWidth="1"/>
    <col min="11278" max="11279" width="0" style="1" hidden="1" customWidth="1"/>
    <col min="11280" max="11280" width="14.85546875" style="1" customWidth="1"/>
    <col min="11281" max="11282" width="0" style="1" hidden="1" customWidth="1"/>
    <col min="11283" max="11284" width="14.85546875" style="1" customWidth="1"/>
    <col min="11285" max="11285" width="44.42578125" style="1" customWidth="1"/>
    <col min="11286" max="11290" width="14.85546875" style="1" customWidth="1"/>
    <col min="11291" max="11291" width="63.85546875" style="1" customWidth="1"/>
    <col min="11292" max="11292" width="13.28515625" style="1" customWidth="1"/>
    <col min="11293" max="11478" width="9.140625" style="1"/>
    <col min="11479" max="11480" width="0" style="1" hidden="1" customWidth="1"/>
    <col min="11481" max="11481" width="13.7109375" style="1" customWidth="1"/>
    <col min="11482" max="11482" width="52.85546875" style="1" customWidth="1"/>
    <col min="11483" max="11522" width="0" style="1" hidden="1" customWidth="1"/>
    <col min="11523" max="11524" width="14.85546875" style="1" customWidth="1"/>
    <col min="11525" max="11526" width="0" style="1" hidden="1" customWidth="1"/>
    <col min="11527" max="11527" width="14.85546875" style="1" customWidth="1"/>
    <col min="11528" max="11529" width="0" style="1" hidden="1" customWidth="1"/>
    <col min="11530" max="11530" width="14.85546875" style="1" customWidth="1"/>
    <col min="11531" max="11532" width="0" style="1" hidden="1" customWidth="1"/>
    <col min="11533" max="11533" width="14.85546875" style="1" customWidth="1"/>
    <col min="11534" max="11535" width="0" style="1" hidden="1" customWidth="1"/>
    <col min="11536" max="11536" width="14.85546875" style="1" customWidth="1"/>
    <col min="11537" max="11538" width="0" style="1" hidden="1" customWidth="1"/>
    <col min="11539" max="11540" width="14.85546875" style="1" customWidth="1"/>
    <col min="11541" max="11541" width="44.42578125" style="1" customWidth="1"/>
    <col min="11542" max="11546" width="14.85546875" style="1" customWidth="1"/>
    <col min="11547" max="11547" width="63.85546875" style="1" customWidth="1"/>
    <col min="11548" max="11548" width="13.28515625" style="1" customWidth="1"/>
    <col min="11549" max="11734" width="9.140625" style="1"/>
    <col min="11735" max="11736" width="0" style="1" hidden="1" customWidth="1"/>
    <col min="11737" max="11737" width="13.7109375" style="1" customWidth="1"/>
    <col min="11738" max="11738" width="52.85546875" style="1" customWidth="1"/>
    <col min="11739" max="11778" width="0" style="1" hidden="1" customWidth="1"/>
    <col min="11779" max="11780" width="14.85546875" style="1" customWidth="1"/>
    <col min="11781" max="11782" width="0" style="1" hidden="1" customWidth="1"/>
    <col min="11783" max="11783" width="14.85546875" style="1" customWidth="1"/>
    <col min="11784" max="11785" width="0" style="1" hidden="1" customWidth="1"/>
    <col min="11786" max="11786" width="14.85546875" style="1" customWidth="1"/>
    <col min="11787" max="11788" width="0" style="1" hidden="1" customWidth="1"/>
    <col min="11789" max="11789" width="14.85546875" style="1" customWidth="1"/>
    <col min="11790" max="11791" width="0" style="1" hidden="1" customWidth="1"/>
    <col min="11792" max="11792" width="14.85546875" style="1" customWidth="1"/>
    <col min="11793" max="11794" width="0" style="1" hidden="1" customWidth="1"/>
    <col min="11795" max="11796" width="14.85546875" style="1" customWidth="1"/>
    <col min="11797" max="11797" width="44.42578125" style="1" customWidth="1"/>
    <col min="11798" max="11802" width="14.85546875" style="1" customWidth="1"/>
    <col min="11803" max="11803" width="63.85546875" style="1" customWidth="1"/>
    <col min="11804" max="11804" width="13.28515625" style="1" customWidth="1"/>
    <col min="11805" max="11990" width="9.140625" style="1"/>
    <col min="11991" max="11992" width="0" style="1" hidden="1" customWidth="1"/>
    <col min="11993" max="11993" width="13.7109375" style="1" customWidth="1"/>
    <col min="11994" max="11994" width="52.85546875" style="1" customWidth="1"/>
    <col min="11995" max="12034" width="0" style="1" hidden="1" customWidth="1"/>
    <col min="12035" max="12036" width="14.85546875" style="1" customWidth="1"/>
    <col min="12037" max="12038" width="0" style="1" hidden="1" customWidth="1"/>
    <col min="12039" max="12039" width="14.85546875" style="1" customWidth="1"/>
    <col min="12040" max="12041" width="0" style="1" hidden="1" customWidth="1"/>
    <col min="12042" max="12042" width="14.85546875" style="1" customWidth="1"/>
    <col min="12043" max="12044" width="0" style="1" hidden="1" customWidth="1"/>
    <col min="12045" max="12045" width="14.85546875" style="1" customWidth="1"/>
    <col min="12046" max="12047" width="0" style="1" hidden="1" customWidth="1"/>
    <col min="12048" max="12048" width="14.85546875" style="1" customWidth="1"/>
    <col min="12049" max="12050" width="0" style="1" hidden="1" customWidth="1"/>
    <col min="12051" max="12052" width="14.85546875" style="1" customWidth="1"/>
    <col min="12053" max="12053" width="44.42578125" style="1" customWidth="1"/>
    <col min="12054" max="12058" width="14.85546875" style="1" customWidth="1"/>
    <col min="12059" max="12059" width="63.85546875" style="1" customWidth="1"/>
    <col min="12060" max="12060" width="13.28515625" style="1" customWidth="1"/>
    <col min="12061" max="12246" width="9.140625" style="1"/>
    <col min="12247" max="12248" width="0" style="1" hidden="1" customWidth="1"/>
    <col min="12249" max="12249" width="13.7109375" style="1" customWidth="1"/>
    <col min="12250" max="12250" width="52.85546875" style="1" customWidth="1"/>
    <col min="12251" max="12290" width="0" style="1" hidden="1" customWidth="1"/>
    <col min="12291" max="12292" width="14.85546875" style="1" customWidth="1"/>
    <col min="12293" max="12294" width="0" style="1" hidden="1" customWidth="1"/>
    <col min="12295" max="12295" width="14.85546875" style="1" customWidth="1"/>
    <col min="12296" max="12297" width="0" style="1" hidden="1" customWidth="1"/>
    <col min="12298" max="12298" width="14.85546875" style="1" customWidth="1"/>
    <col min="12299" max="12300" width="0" style="1" hidden="1" customWidth="1"/>
    <col min="12301" max="12301" width="14.85546875" style="1" customWidth="1"/>
    <col min="12302" max="12303" width="0" style="1" hidden="1" customWidth="1"/>
    <col min="12304" max="12304" width="14.85546875" style="1" customWidth="1"/>
    <col min="12305" max="12306" width="0" style="1" hidden="1" customWidth="1"/>
    <col min="12307" max="12308" width="14.85546875" style="1" customWidth="1"/>
    <col min="12309" max="12309" width="44.42578125" style="1" customWidth="1"/>
    <col min="12310" max="12314" width="14.85546875" style="1" customWidth="1"/>
    <col min="12315" max="12315" width="63.85546875" style="1" customWidth="1"/>
    <col min="12316" max="12316" width="13.28515625" style="1" customWidth="1"/>
    <col min="12317" max="12502" width="9.140625" style="1"/>
    <col min="12503" max="12504" width="0" style="1" hidden="1" customWidth="1"/>
    <col min="12505" max="12505" width="13.7109375" style="1" customWidth="1"/>
    <col min="12506" max="12506" width="52.85546875" style="1" customWidth="1"/>
    <col min="12507" max="12546" width="0" style="1" hidden="1" customWidth="1"/>
    <col min="12547" max="12548" width="14.85546875" style="1" customWidth="1"/>
    <col min="12549" max="12550" width="0" style="1" hidden="1" customWidth="1"/>
    <col min="12551" max="12551" width="14.85546875" style="1" customWidth="1"/>
    <col min="12552" max="12553" width="0" style="1" hidden="1" customWidth="1"/>
    <col min="12554" max="12554" width="14.85546875" style="1" customWidth="1"/>
    <col min="12555" max="12556" width="0" style="1" hidden="1" customWidth="1"/>
    <col min="12557" max="12557" width="14.85546875" style="1" customWidth="1"/>
    <col min="12558" max="12559" width="0" style="1" hidden="1" customWidth="1"/>
    <col min="12560" max="12560" width="14.85546875" style="1" customWidth="1"/>
    <col min="12561" max="12562" width="0" style="1" hidden="1" customWidth="1"/>
    <col min="12563" max="12564" width="14.85546875" style="1" customWidth="1"/>
    <col min="12565" max="12565" width="44.42578125" style="1" customWidth="1"/>
    <col min="12566" max="12570" width="14.85546875" style="1" customWidth="1"/>
    <col min="12571" max="12571" width="63.85546875" style="1" customWidth="1"/>
    <col min="12572" max="12572" width="13.28515625" style="1" customWidth="1"/>
    <col min="12573" max="12758" width="9.140625" style="1"/>
    <col min="12759" max="12760" width="0" style="1" hidden="1" customWidth="1"/>
    <col min="12761" max="12761" width="13.7109375" style="1" customWidth="1"/>
    <col min="12762" max="12762" width="52.85546875" style="1" customWidth="1"/>
    <col min="12763" max="12802" width="0" style="1" hidden="1" customWidth="1"/>
    <col min="12803" max="12804" width="14.85546875" style="1" customWidth="1"/>
    <col min="12805" max="12806" width="0" style="1" hidden="1" customWidth="1"/>
    <col min="12807" max="12807" width="14.85546875" style="1" customWidth="1"/>
    <col min="12808" max="12809" width="0" style="1" hidden="1" customWidth="1"/>
    <col min="12810" max="12810" width="14.85546875" style="1" customWidth="1"/>
    <col min="12811" max="12812" width="0" style="1" hidden="1" customWidth="1"/>
    <col min="12813" max="12813" width="14.85546875" style="1" customWidth="1"/>
    <col min="12814" max="12815" width="0" style="1" hidden="1" customWidth="1"/>
    <col min="12816" max="12816" width="14.85546875" style="1" customWidth="1"/>
    <col min="12817" max="12818" width="0" style="1" hidden="1" customWidth="1"/>
    <col min="12819" max="12820" width="14.85546875" style="1" customWidth="1"/>
    <col min="12821" max="12821" width="44.42578125" style="1" customWidth="1"/>
    <col min="12822" max="12826" width="14.85546875" style="1" customWidth="1"/>
    <col min="12827" max="12827" width="63.85546875" style="1" customWidth="1"/>
    <col min="12828" max="12828" width="13.28515625" style="1" customWidth="1"/>
    <col min="12829" max="13014" width="9.140625" style="1"/>
    <col min="13015" max="13016" width="0" style="1" hidden="1" customWidth="1"/>
    <col min="13017" max="13017" width="13.7109375" style="1" customWidth="1"/>
    <col min="13018" max="13018" width="52.85546875" style="1" customWidth="1"/>
    <col min="13019" max="13058" width="0" style="1" hidden="1" customWidth="1"/>
    <col min="13059" max="13060" width="14.85546875" style="1" customWidth="1"/>
    <col min="13061" max="13062" width="0" style="1" hidden="1" customWidth="1"/>
    <col min="13063" max="13063" width="14.85546875" style="1" customWidth="1"/>
    <col min="13064" max="13065" width="0" style="1" hidden="1" customWidth="1"/>
    <col min="13066" max="13066" width="14.85546875" style="1" customWidth="1"/>
    <col min="13067" max="13068" width="0" style="1" hidden="1" customWidth="1"/>
    <col min="13069" max="13069" width="14.85546875" style="1" customWidth="1"/>
    <col min="13070" max="13071" width="0" style="1" hidden="1" customWidth="1"/>
    <col min="13072" max="13072" width="14.85546875" style="1" customWidth="1"/>
    <col min="13073" max="13074" width="0" style="1" hidden="1" customWidth="1"/>
    <col min="13075" max="13076" width="14.85546875" style="1" customWidth="1"/>
    <col min="13077" max="13077" width="44.42578125" style="1" customWidth="1"/>
    <col min="13078" max="13082" width="14.85546875" style="1" customWidth="1"/>
    <col min="13083" max="13083" width="63.85546875" style="1" customWidth="1"/>
    <col min="13084" max="13084" width="13.28515625" style="1" customWidth="1"/>
    <col min="13085" max="13270" width="9.140625" style="1"/>
    <col min="13271" max="13272" width="0" style="1" hidden="1" customWidth="1"/>
    <col min="13273" max="13273" width="13.7109375" style="1" customWidth="1"/>
    <col min="13274" max="13274" width="52.85546875" style="1" customWidth="1"/>
    <col min="13275" max="13314" width="0" style="1" hidden="1" customWidth="1"/>
    <col min="13315" max="13316" width="14.85546875" style="1" customWidth="1"/>
    <col min="13317" max="13318" width="0" style="1" hidden="1" customWidth="1"/>
    <col min="13319" max="13319" width="14.85546875" style="1" customWidth="1"/>
    <col min="13320" max="13321" width="0" style="1" hidden="1" customWidth="1"/>
    <col min="13322" max="13322" width="14.85546875" style="1" customWidth="1"/>
    <col min="13323" max="13324" width="0" style="1" hidden="1" customWidth="1"/>
    <col min="13325" max="13325" width="14.85546875" style="1" customWidth="1"/>
    <col min="13326" max="13327" width="0" style="1" hidden="1" customWidth="1"/>
    <col min="13328" max="13328" width="14.85546875" style="1" customWidth="1"/>
    <col min="13329" max="13330" width="0" style="1" hidden="1" customWidth="1"/>
    <col min="13331" max="13332" width="14.85546875" style="1" customWidth="1"/>
    <col min="13333" max="13333" width="44.42578125" style="1" customWidth="1"/>
    <col min="13334" max="13338" width="14.85546875" style="1" customWidth="1"/>
    <col min="13339" max="13339" width="63.85546875" style="1" customWidth="1"/>
    <col min="13340" max="13340" width="13.28515625" style="1" customWidth="1"/>
    <col min="13341" max="13526" width="9.140625" style="1"/>
    <col min="13527" max="13528" width="0" style="1" hidden="1" customWidth="1"/>
    <col min="13529" max="13529" width="13.7109375" style="1" customWidth="1"/>
    <col min="13530" max="13530" width="52.85546875" style="1" customWidth="1"/>
    <col min="13531" max="13570" width="0" style="1" hidden="1" customWidth="1"/>
    <col min="13571" max="13572" width="14.85546875" style="1" customWidth="1"/>
    <col min="13573" max="13574" width="0" style="1" hidden="1" customWidth="1"/>
    <col min="13575" max="13575" width="14.85546875" style="1" customWidth="1"/>
    <col min="13576" max="13577" width="0" style="1" hidden="1" customWidth="1"/>
    <col min="13578" max="13578" width="14.85546875" style="1" customWidth="1"/>
    <col min="13579" max="13580" width="0" style="1" hidden="1" customWidth="1"/>
    <col min="13581" max="13581" width="14.85546875" style="1" customWidth="1"/>
    <col min="13582" max="13583" width="0" style="1" hidden="1" customWidth="1"/>
    <col min="13584" max="13584" width="14.85546875" style="1" customWidth="1"/>
    <col min="13585" max="13586" width="0" style="1" hidden="1" customWidth="1"/>
    <col min="13587" max="13588" width="14.85546875" style="1" customWidth="1"/>
    <col min="13589" max="13589" width="44.42578125" style="1" customWidth="1"/>
    <col min="13590" max="13594" width="14.85546875" style="1" customWidth="1"/>
    <col min="13595" max="13595" width="63.85546875" style="1" customWidth="1"/>
    <col min="13596" max="13596" width="13.28515625" style="1" customWidth="1"/>
    <col min="13597" max="13782" width="9.140625" style="1"/>
    <col min="13783" max="13784" width="0" style="1" hidden="1" customWidth="1"/>
    <col min="13785" max="13785" width="13.7109375" style="1" customWidth="1"/>
    <col min="13786" max="13786" width="52.85546875" style="1" customWidth="1"/>
    <col min="13787" max="13826" width="0" style="1" hidden="1" customWidth="1"/>
    <col min="13827" max="13828" width="14.85546875" style="1" customWidth="1"/>
    <col min="13829" max="13830" width="0" style="1" hidden="1" customWidth="1"/>
    <col min="13831" max="13831" width="14.85546875" style="1" customWidth="1"/>
    <col min="13832" max="13833" width="0" style="1" hidden="1" customWidth="1"/>
    <col min="13834" max="13834" width="14.85546875" style="1" customWidth="1"/>
    <col min="13835" max="13836" width="0" style="1" hidden="1" customWidth="1"/>
    <col min="13837" max="13837" width="14.85546875" style="1" customWidth="1"/>
    <col min="13838" max="13839" width="0" style="1" hidden="1" customWidth="1"/>
    <col min="13840" max="13840" width="14.85546875" style="1" customWidth="1"/>
    <col min="13841" max="13842" width="0" style="1" hidden="1" customWidth="1"/>
    <col min="13843" max="13844" width="14.85546875" style="1" customWidth="1"/>
    <col min="13845" max="13845" width="44.42578125" style="1" customWidth="1"/>
    <col min="13846" max="13850" width="14.85546875" style="1" customWidth="1"/>
    <col min="13851" max="13851" width="63.85546875" style="1" customWidth="1"/>
    <col min="13852" max="13852" width="13.28515625" style="1" customWidth="1"/>
    <col min="13853" max="14038" width="9.140625" style="1"/>
    <col min="14039" max="14040" width="0" style="1" hidden="1" customWidth="1"/>
    <col min="14041" max="14041" width="13.7109375" style="1" customWidth="1"/>
    <col min="14042" max="14042" width="52.85546875" style="1" customWidth="1"/>
    <col min="14043" max="14082" width="0" style="1" hidden="1" customWidth="1"/>
    <col min="14083" max="14084" width="14.85546875" style="1" customWidth="1"/>
    <col min="14085" max="14086" width="0" style="1" hidden="1" customWidth="1"/>
    <col min="14087" max="14087" width="14.85546875" style="1" customWidth="1"/>
    <col min="14088" max="14089" width="0" style="1" hidden="1" customWidth="1"/>
    <col min="14090" max="14090" width="14.85546875" style="1" customWidth="1"/>
    <col min="14091" max="14092" width="0" style="1" hidden="1" customWidth="1"/>
    <col min="14093" max="14093" width="14.85546875" style="1" customWidth="1"/>
    <col min="14094" max="14095" width="0" style="1" hidden="1" customWidth="1"/>
    <col min="14096" max="14096" width="14.85546875" style="1" customWidth="1"/>
    <col min="14097" max="14098" width="0" style="1" hidden="1" customWidth="1"/>
    <col min="14099" max="14100" width="14.85546875" style="1" customWidth="1"/>
    <col min="14101" max="14101" width="44.42578125" style="1" customWidth="1"/>
    <col min="14102" max="14106" width="14.85546875" style="1" customWidth="1"/>
    <col min="14107" max="14107" width="63.85546875" style="1" customWidth="1"/>
    <col min="14108" max="14108" width="13.28515625" style="1" customWidth="1"/>
    <col min="14109" max="14294" width="9.140625" style="1"/>
    <col min="14295" max="14296" width="0" style="1" hidden="1" customWidth="1"/>
    <col min="14297" max="14297" width="13.7109375" style="1" customWidth="1"/>
    <col min="14298" max="14298" width="52.85546875" style="1" customWidth="1"/>
    <col min="14299" max="14338" width="0" style="1" hidden="1" customWidth="1"/>
    <col min="14339" max="14340" width="14.85546875" style="1" customWidth="1"/>
    <col min="14341" max="14342" width="0" style="1" hidden="1" customWidth="1"/>
    <col min="14343" max="14343" width="14.85546875" style="1" customWidth="1"/>
    <col min="14344" max="14345" width="0" style="1" hidden="1" customWidth="1"/>
    <col min="14346" max="14346" width="14.85546875" style="1" customWidth="1"/>
    <col min="14347" max="14348" width="0" style="1" hidden="1" customWidth="1"/>
    <col min="14349" max="14349" width="14.85546875" style="1" customWidth="1"/>
    <col min="14350" max="14351" width="0" style="1" hidden="1" customWidth="1"/>
    <col min="14352" max="14352" width="14.85546875" style="1" customWidth="1"/>
    <col min="14353" max="14354" width="0" style="1" hidden="1" customWidth="1"/>
    <col min="14355" max="14356" width="14.85546875" style="1" customWidth="1"/>
    <col min="14357" max="14357" width="44.42578125" style="1" customWidth="1"/>
    <col min="14358" max="14362" width="14.85546875" style="1" customWidth="1"/>
    <col min="14363" max="14363" width="63.85546875" style="1" customWidth="1"/>
    <col min="14364" max="14364" width="13.28515625" style="1" customWidth="1"/>
    <col min="14365" max="14550" width="9.140625" style="1"/>
    <col min="14551" max="14552" width="0" style="1" hidden="1" customWidth="1"/>
    <col min="14553" max="14553" width="13.7109375" style="1" customWidth="1"/>
    <col min="14554" max="14554" width="52.85546875" style="1" customWidth="1"/>
    <col min="14555" max="14594" width="0" style="1" hidden="1" customWidth="1"/>
    <col min="14595" max="14596" width="14.85546875" style="1" customWidth="1"/>
    <col min="14597" max="14598" width="0" style="1" hidden="1" customWidth="1"/>
    <col min="14599" max="14599" width="14.85546875" style="1" customWidth="1"/>
    <col min="14600" max="14601" width="0" style="1" hidden="1" customWidth="1"/>
    <col min="14602" max="14602" width="14.85546875" style="1" customWidth="1"/>
    <col min="14603" max="14604" width="0" style="1" hidden="1" customWidth="1"/>
    <col min="14605" max="14605" width="14.85546875" style="1" customWidth="1"/>
    <col min="14606" max="14607" width="0" style="1" hidden="1" customWidth="1"/>
    <col min="14608" max="14608" width="14.85546875" style="1" customWidth="1"/>
    <col min="14609" max="14610" width="0" style="1" hidden="1" customWidth="1"/>
    <col min="14611" max="14612" width="14.85546875" style="1" customWidth="1"/>
    <col min="14613" max="14613" width="44.42578125" style="1" customWidth="1"/>
    <col min="14614" max="14618" width="14.85546875" style="1" customWidth="1"/>
    <col min="14619" max="14619" width="63.85546875" style="1" customWidth="1"/>
    <col min="14620" max="14620" width="13.28515625" style="1" customWidth="1"/>
    <col min="14621" max="14806" width="9.140625" style="1"/>
    <col min="14807" max="14808" width="0" style="1" hidden="1" customWidth="1"/>
    <col min="14809" max="14809" width="13.7109375" style="1" customWidth="1"/>
    <col min="14810" max="14810" width="52.85546875" style="1" customWidth="1"/>
    <col min="14811" max="14850" width="0" style="1" hidden="1" customWidth="1"/>
    <col min="14851" max="14852" width="14.85546875" style="1" customWidth="1"/>
    <col min="14853" max="14854" width="0" style="1" hidden="1" customWidth="1"/>
    <col min="14855" max="14855" width="14.85546875" style="1" customWidth="1"/>
    <col min="14856" max="14857" width="0" style="1" hidden="1" customWidth="1"/>
    <col min="14858" max="14858" width="14.85546875" style="1" customWidth="1"/>
    <col min="14859" max="14860" width="0" style="1" hidden="1" customWidth="1"/>
    <col min="14861" max="14861" width="14.85546875" style="1" customWidth="1"/>
    <col min="14862" max="14863" width="0" style="1" hidden="1" customWidth="1"/>
    <col min="14864" max="14864" width="14.85546875" style="1" customWidth="1"/>
    <col min="14865" max="14866" width="0" style="1" hidden="1" customWidth="1"/>
    <col min="14867" max="14868" width="14.85546875" style="1" customWidth="1"/>
    <col min="14869" max="14869" width="44.42578125" style="1" customWidth="1"/>
    <col min="14870" max="14874" width="14.85546875" style="1" customWidth="1"/>
    <col min="14875" max="14875" width="63.85546875" style="1" customWidth="1"/>
    <col min="14876" max="14876" width="13.28515625" style="1" customWidth="1"/>
    <col min="14877" max="15062" width="9.140625" style="1"/>
    <col min="15063" max="15064" width="0" style="1" hidden="1" customWidth="1"/>
    <col min="15065" max="15065" width="13.7109375" style="1" customWidth="1"/>
    <col min="15066" max="15066" width="52.85546875" style="1" customWidth="1"/>
    <col min="15067" max="15106" width="0" style="1" hidden="1" customWidth="1"/>
    <col min="15107" max="15108" width="14.85546875" style="1" customWidth="1"/>
    <col min="15109" max="15110" width="0" style="1" hidden="1" customWidth="1"/>
    <col min="15111" max="15111" width="14.85546875" style="1" customWidth="1"/>
    <col min="15112" max="15113" width="0" style="1" hidden="1" customWidth="1"/>
    <col min="15114" max="15114" width="14.85546875" style="1" customWidth="1"/>
    <col min="15115" max="15116" width="0" style="1" hidden="1" customWidth="1"/>
    <col min="15117" max="15117" width="14.85546875" style="1" customWidth="1"/>
    <col min="15118" max="15119" width="0" style="1" hidden="1" customWidth="1"/>
    <col min="15120" max="15120" width="14.85546875" style="1" customWidth="1"/>
    <col min="15121" max="15122" width="0" style="1" hidden="1" customWidth="1"/>
    <col min="15123" max="15124" width="14.85546875" style="1" customWidth="1"/>
    <col min="15125" max="15125" width="44.42578125" style="1" customWidth="1"/>
    <col min="15126" max="15130" width="14.85546875" style="1" customWidth="1"/>
    <col min="15131" max="15131" width="63.85546875" style="1" customWidth="1"/>
    <col min="15132" max="15132" width="13.28515625" style="1" customWidth="1"/>
    <col min="15133" max="15318" width="9.140625" style="1"/>
    <col min="15319" max="15320" width="0" style="1" hidden="1" customWidth="1"/>
    <col min="15321" max="15321" width="13.7109375" style="1" customWidth="1"/>
    <col min="15322" max="15322" width="52.85546875" style="1" customWidth="1"/>
    <col min="15323" max="15362" width="0" style="1" hidden="1" customWidth="1"/>
    <col min="15363" max="15364" width="14.85546875" style="1" customWidth="1"/>
    <col min="15365" max="15366" width="0" style="1" hidden="1" customWidth="1"/>
    <col min="15367" max="15367" width="14.85546875" style="1" customWidth="1"/>
    <col min="15368" max="15369" width="0" style="1" hidden="1" customWidth="1"/>
    <col min="15370" max="15370" width="14.85546875" style="1" customWidth="1"/>
    <col min="15371" max="15372" width="0" style="1" hidden="1" customWidth="1"/>
    <col min="15373" max="15373" width="14.85546875" style="1" customWidth="1"/>
    <col min="15374" max="15375" width="0" style="1" hidden="1" customWidth="1"/>
    <col min="15376" max="15376" width="14.85546875" style="1" customWidth="1"/>
    <col min="15377" max="15378" width="0" style="1" hidden="1" customWidth="1"/>
    <col min="15379" max="15380" width="14.85546875" style="1" customWidth="1"/>
    <col min="15381" max="15381" width="44.42578125" style="1" customWidth="1"/>
    <col min="15382" max="15386" width="14.85546875" style="1" customWidth="1"/>
    <col min="15387" max="15387" width="63.85546875" style="1" customWidth="1"/>
    <col min="15388" max="15388" width="13.28515625" style="1" customWidth="1"/>
    <col min="15389" max="15574" width="9.140625" style="1"/>
    <col min="15575" max="15576" width="0" style="1" hidden="1" customWidth="1"/>
    <col min="15577" max="15577" width="13.7109375" style="1" customWidth="1"/>
    <col min="15578" max="15578" width="52.85546875" style="1" customWidth="1"/>
    <col min="15579" max="15618" width="0" style="1" hidden="1" customWidth="1"/>
    <col min="15619" max="15620" width="14.85546875" style="1" customWidth="1"/>
    <col min="15621" max="15622" width="0" style="1" hidden="1" customWidth="1"/>
    <col min="15623" max="15623" width="14.85546875" style="1" customWidth="1"/>
    <col min="15624" max="15625" width="0" style="1" hidden="1" customWidth="1"/>
    <col min="15626" max="15626" width="14.85546875" style="1" customWidth="1"/>
    <col min="15627" max="15628" width="0" style="1" hidden="1" customWidth="1"/>
    <col min="15629" max="15629" width="14.85546875" style="1" customWidth="1"/>
    <col min="15630" max="15631" width="0" style="1" hidden="1" customWidth="1"/>
    <col min="15632" max="15632" width="14.85546875" style="1" customWidth="1"/>
    <col min="15633" max="15634" width="0" style="1" hidden="1" customWidth="1"/>
    <col min="15635" max="15636" width="14.85546875" style="1" customWidth="1"/>
    <col min="15637" max="15637" width="44.42578125" style="1" customWidth="1"/>
    <col min="15638" max="15642" width="14.85546875" style="1" customWidth="1"/>
    <col min="15643" max="15643" width="63.85546875" style="1" customWidth="1"/>
    <col min="15644" max="15644" width="13.28515625" style="1" customWidth="1"/>
    <col min="15645" max="15830" width="9.140625" style="1"/>
    <col min="15831" max="15832" width="0" style="1" hidden="1" customWidth="1"/>
    <col min="15833" max="15833" width="13.7109375" style="1" customWidth="1"/>
    <col min="15834" max="15834" width="52.85546875" style="1" customWidth="1"/>
    <col min="15835" max="15874" width="0" style="1" hidden="1" customWidth="1"/>
    <col min="15875" max="15876" width="14.85546875" style="1" customWidth="1"/>
    <col min="15877" max="15878" width="0" style="1" hidden="1" customWidth="1"/>
    <col min="15879" max="15879" width="14.85546875" style="1" customWidth="1"/>
    <col min="15880" max="15881" width="0" style="1" hidden="1" customWidth="1"/>
    <col min="15882" max="15882" width="14.85546875" style="1" customWidth="1"/>
    <col min="15883" max="15884" width="0" style="1" hidden="1" customWidth="1"/>
    <col min="15885" max="15885" width="14.85546875" style="1" customWidth="1"/>
    <col min="15886" max="15887" width="0" style="1" hidden="1" customWidth="1"/>
    <col min="15888" max="15888" width="14.85546875" style="1" customWidth="1"/>
    <col min="15889" max="15890" width="0" style="1" hidden="1" customWidth="1"/>
    <col min="15891" max="15892" width="14.85546875" style="1" customWidth="1"/>
    <col min="15893" max="15893" width="44.42578125" style="1" customWidth="1"/>
    <col min="15894" max="15898" width="14.85546875" style="1" customWidth="1"/>
    <col min="15899" max="15899" width="63.85546875" style="1" customWidth="1"/>
    <col min="15900" max="15900" width="13.28515625" style="1" customWidth="1"/>
    <col min="15901" max="16086" width="9.140625" style="1"/>
    <col min="16087" max="16088" width="0" style="1" hidden="1" customWidth="1"/>
    <col min="16089" max="16089" width="13.7109375" style="1" customWidth="1"/>
    <col min="16090" max="16090" width="52.85546875" style="1" customWidth="1"/>
    <col min="16091" max="16130" width="0" style="1" hidden="1" customWidth="1"/>
    <col min="16131" max="16132" width="14.85546875" style="1" customWidth="1"/>
    <col min="16133" max="16134" width="0" style="1" hidden="1" customWidth="1"/>
    <col min="16135" max="16135" width="14.85546875" style="1" customWidth="1"/>
    <col min="16136" max="16137" width="0" style="1" hidden="1" customWidth="1"/>
    <col min="16138" max="16138" width="14.85546875" style="1" customWidth="1"/>
    <col min="16139" max="16140" width="0" style="1" hidden="1" customWidth="1"/>
    <col min="16141" max="16141" width="14.85546875" style="1" customWidth="1"/>
    <col min="16142" max="16143" width="0" style="1" hidden="1" customWidth="1"/>
    <col min="16144" max="16144" width="14.85546875" style="1" customWidth="1"/>
    <col min="16145" max="16146" width="0" style="1" hidden="1" customWidth="1"/>
    <col min="16147" max="16148" width="14.85546875" style="1" customWidth="1"/>
    <col min="16149" max="16149" width="44.42578125" style="1" customWidth="1"/>
    <col min="16150" max="16154" width="14.85546875" style="1" customWidth="1"/>
    <col min="16155" max="16155" width="63.85546875" style="1" customWidth="1"/>
    <col min="16156" max="16156" width="13.28515625" style="1" customWidth="1"/>
    <col min="16157" max="16384" width="9.140625" style="1"/>
  </cols>
  <sheetData>
    <row r="1" spans="1:28" ht="18.75" outlineLevel="1" x14ac:dyDescent="0.3">
      <c r="C1" s="566" t="s">
        <v>0</v>
      </c>
      <c r="D1" s="566"/>
      <c r="E1" s="2">
        <v>0.70280399999999998</v>
      </c>
      <c r="F1" s="3"/>
      <c r="G1" s="4"/>
      <c r="H1" s="5"/>
      <c r="I1" s="5"/>
      <c r="J1" s="5"/>
      <c r="K1" s="5"/>
      <c r="L1" s="5"/>
      <c r="M1" s="6"/>
      <c r="N1" s="6"/>
      <c r="O1" s="7"/>
      <c r="P1" s="6"/>
      <c r="Q1" s="6"/>
      <c r="R1" s="7"/>
      <c r="S1" s="6"/>
      <c r="T1" s="6"/>
      <c r="U1" s="7"/>
      <c r="V1" s="6"/>
      <c r="W1" s="6"/>
      <c r="X1" s="7"/>
      <c r="Y1" s="8"/>
      <c r="Z1" s="9"/>
      <c r="AA1" s="9"/>
    </row>
    <row r="2" spans="1:28" s="11" customFormat="1" ht="18.75" outlineLevel="1" x14ac:dyDescent="0.3">
      <c r="C2" s="428"/>
      <c r="D2" s="429"/>
      <c r="E2" s="14"/>
      <c r="F2" s="15"/>
      <c r="G2" s="16"/>
      <c r="H2" s="17"/>
      <c r="I2" s="18"/>
      <c r="J2" s="18"/>
      <c r="K2" s="18"/>
      <c r="L2" s="17"/>
      <c r="M2" s="19"/>
      <c r="N2" s="19"/>
      <c r="O2" s="20"/>
      <c r="P2" s="6"/>
      <c r="Q2" s="6"/>
      <c r="R2" s="7"/>
      <c r="S2" s="6"/>
      <c r="T2" s="6"/>
      <c r="U2" s="7"/>
      <c r="V2" s="6"/>
      <c r="W2" s="6"/>
      <c r="X2" s="7"/>
      <c r="Y2" s="8"/>
      <c r="Z2" s="9"/>
      <c r="AA2" s="21"/>
      <c r="AB2" s="12"/>
    </row>
    <row r="3" spans="1:28" ht="18.75" outlineLevel="1" x14ac:dyDescent="0.3">
      <c r="C3" s="567" t="s">
        <v>1</v>
      </c>
      <c r="D3" s="567"/>
      <c r="E3" s="22"/>
      <c r="F3" s="23"/>
      <c r="G3" s="24"/>
      <c r="H3" s="25"/>
      <c r="L3" s="25"/>
      <c r="M3" s="27"/>
      <c r="N3" s="28"/>
      <c r="P3" s="6"/>
      <c r="Q3" s="6"/>
      <c r="R3" s="7"/>
      <c r="S3" s="6"/>
      <c r="T3" s="6"/>
      <c r="U3" s="7"/>
      <c r="V3" s="6"/>
      <c r="W3" s="6"/>
      <c r="X3" s="7"/>
      <c r="Y3" s="8"/>
      <c r="Z3" s="9"/>
    </row>
    <row r="4" spans="1:28" ht="15.75" outlineLevel="1" thickBot="1" x14ac:dyDescent="0.3">
      <c r="E4" s="31"/>
      <c r="F4" s="32">
        <f>F124/F7</f>
        <v>0.10746816784177475</v>
      </c>
      <c r="G4" s="33"/>
      <c r="H4" s="34"/>
      <c r="L4" s="35"/>
      <c r="M4" s="36"/>
      <c r="N4" s="37"/>
      <c r="P4" s="36"/>
      <c r="Q4" s="37"/>
      <c r="S4" s="36"/>
      <c r="T4" s="37"/>
      <c r="V4" s="36"/>
      <c r="W4" s="37"/>
      <c r="Y4" s="38"/>
    </row>
    <row r="5" spans="1:28" ht="43.5" thickBot="1" x14ac:dyDescent="0.3">
      <c r="C5" s="39" t="s">
        <v>2</v>
      </c>
      <c r="D5" s="40" t="s">
        <v>3</v>
      </c>
      <c r="E5" s="41" t="s">
        <v>4</v>
      </c>
      <c r="F5" s="41" t="s">
        <v>5</v>
      </c>
      <c r="G5" s="42" t="s">
        <v>6</v>
      </c>
      <c r="H5" s="43" t="s">
        <v>7</v>
      </c>
      <c r="I5" s="43" t="s">
        <v>8</v>
      </c>
      <c r="J5" s="43" t="s">
        <v>9</v>
      </c>
      <c r="K5" s="43" t="s">
        <v>10</v>
      </c>
      <c r="L5" s="43" t="s">
        <v>11</v>
      </c>
      <c r="M5" s="44" t="s">
        <v>12</v>
      </c>
      <c r="N5" s="44" t="s">
        <v>13</v>
      </c>
      <c r="O5" s="45"/>
      <c r="P5" s="44" t="s">
        <v>14</v>
      </c>
      <c r="Q5" s="44" t="s">
        <v>15</v>
      </c>
      <c r="R5" s="46" t="s">
        <v>16</v>
      </c>
      <c r="S5" s="44" t="s">
        <v>17</v>
      </c>
      <c r="T5" s="44" t="s">
        <v>18</v>
      </c>
      <c r="U5" s="46" t="s">
        <v>16</v>
      </c>
      <c r="V5" s="44" t="s">
        <v>19</v>
      </c>
      <c r="W5" s="44" t="s">
        <v>20</v>
      </c>
      <c r="X5" s="46" t="s">
        <v>16</v>
      </c>
      <c r="Y5" s="47" t="s">
        <v>21</v>
      </c>
      <c r="Z5" s="48" t="s">
        <v>22</v>
      </c>
      <c r="AA5" s="48" t="s">
        <v>23</v>
      </c>
    </row>
    <row r="6" spans="1:28" x14ac:dyDescent="0.25">
      <c r="C6" s="49" t="s">
        <v>24</v>
      </c>
      <c r="D6" s="50" t="s">
        <v>25</v>
      </c>
      <c r="E6" s="51">
        <f>E7+E10+E13+E16+E19</f>
        <v>8828516.7839147784</v>
      </c>
      <c r="F6" s="52">
        <f>F7+F10+F13+F16+F19</f>
        <v>9296657.8770126402</v>
      </c>
      <c r="G6" s="53">
        <f>G7+G10+G13+G16+G19</f>
        <v>10494440.360313069</v>
      </c>
      <c r="H6" s="52">
        <f>H7+H10+H13+H16+H19</f>
        <v>0</v>
      </c>
      <c r="I6" s="52">
        <f>SUM(I7:I8)</f>
        <v>0</v>
      </c>
      <c r="J6" s="52">
        <f>SUM(J7:J8)</f>
        <v>0</v>
      </c>
      <c r="K6" s="52"/>
      <c r="L6" s="52">
        <f>L7+L10+L13+L16+L19</f>
        <v>11223788.957927698</v>
      </c>
      <c r="M6" s="54">
        <f>M7+M10+M13+M16+M19</f>
        <v>11223788.957927698</v>
      </c>
      <c r="N6" s="54">
        <f>M6-G6</f>
        <v>729348.59761462919</v>
      </c>
      <c r="O6" s="55">
        <f>N6/G6</f>
        <v>6.9498569964036777E-2</v>
      </c>
      <c r="P6" s="54">
        <f>P7+P10+P13+P16+P19</f>
        <v>11223788.957927698</v>
      </c>
      <c r="Q6" s="54">
        <f>P6-M6</f>
        <v>0</v>
      </c>
      <c r="R6" s="55"/>
      <c r="S6" s="54">
        <f>S7+S10+S13+S16+S19</f>
        <v>11350063.257927699</v>
      </c>
      <c r="T6" s="54">
        <f>S6-P6</f>
        <v>126274.30000000075</v>
      </c>
      <c r="U6" s="55"/>
      <c r="V6" s="54">
        <f>V7+V10+V13+V16+V19</f>
        <v>11350063.257927699</v>
      </c>
      <c r="W6" s="54">
        <f>V6-S6</f>
        <v>0</v>
      </c>
      <c r="X6" s="55"/>
      <c r="Y6" s="56">
        <f>Y7+Y10+Y13+Y16+Y19</f>
        <v>2945672</v>
      </c>
      <c r="Z6" s="57">
        <f>Y6/V6</f>
        <v>0.2595291262313037</v>
      </c>
      <c r="AA6" s="58" t="s">
        <v>26</v>
      </c>
    </row>
    <row r="7" spans="1:28" x14ac:dyDescent="0.25">
      <c r="B7" s="1" t="s">
        <v>27</v>
      </c>
      <c r="C7" s="59" t="s">
        <v>28</v>
      </c>
      <c r="D7" s="60" t="s">
        <v>29</v>
      </c>
      <c r="E7" s="61">
        <f>SUM(E8:E9)</f>
        <v>7265176.9376190836</v>
      </c>
      <c r="F7" s="62">
        <f>SUM(F8:F9)</f>
        <v>7667959.1270126393</v>
      </c>
      <c r="G7" s="63">
        <f>SUM(G8:G9)</f>
        <v>8906770.160313068</v>
      </c>
      <c r="H7" s="62">
        <f>SUM(H8:H9)</f>
        <v>0</v>
      </c>
      <c r="I7" s="62">
        <f>SUM(I8:I9)</f>
        <v>0</v>
      </c>
      <c r="J7" s="62">
        <f>SUM(J8:J9)</f>
        <v>0</v>
      </c>
      <c r="K7" s="62">
        <f>SUM(K8:K9)</f>
        <v>0</v>
      </c>
      <c r="L7" s="62">
        <f>SUM(L8:L9)</f>
        <v>9764041.9579276983</v>
      </c>
      <c r="M7" s="64">
        <f>SUM(M8:M9)</f>
        <v>9764041.9579276983</v>
      </c>
      <c r="N7" s="64">
        <f t="shared" ref="N7:N70" si="0">M7-G7</f>
        <v>857271.79761463031</v>
      </c>
      <c r="O7" s="65">
        <f>N7/G7</f>
        <v>9.6249457680459297E-2</v>
      </c>
      <c r="P7" s="64">
        <f>SUM(P8:P9)</f>
        <v>9764041.9579276983</v>
      </c>
      <c r="Q7" s="64">
        <f t="shared" ref="Q7:Q70" si="1">P7-M7</f>
        <v>0</v>
      </c>
      <c r="R7" s="65"/>
      <c r="S7" s="64">
        <f>SUM(S8:S9)</f>
        <v>9764041.9579276983</v>
      </c>
      <c r="T7" s="64">
        <f t="shared" ref="T7:T70" si="2">S7-P7</f>
        <v>0</v>
      </c>
      <c r="U7" s="65"/>
      <c r="V7" s="64">
        <f>SUM(V8:V9)</f>
        <v>9764041.9579276983</v>
      </c>
      <c r="W7" s="64">
        <f t="shared" ref="W7:W70" si="3">V7-S7</f>
        <v>0</v>
      </c>
      <c r="X7" s="65"/>
      <c r="Y7" s="66">
        <f>SUM(Y8:Y9)</f>
        <v>2177840</v>
      </c>
      <c r="Z7" s="67">
        <f t="shared" ref="Z7:Z69" si="4">Y7/V7</f>
        <v>0.22304697269676835</v>
      </c>
      <c r="AA7" s="67"/>
    </row>
    <row r="8" spans="1:28" x14ac:dyDescent="0.25">
      <c r="A8" s="1" t="s">
        <v>30</v>
      </c>
      <c r="B8" s="68" t="s">
        <v>31</v>
      </c>
      <c r="C8" s="69" t="s">
        <v>32</v>
      </c>
      <c r="D8" s="70" t="s">
        <v>33</v>
      </c>
      <c r="E8" s="71">
        <v>39400</v>
      </c>
      <c r="F8" s="72">
        <v>76117</v>
      </c>
      <c r="G8" s="73">
        <v>56681</v>
      </c>
      <c r="H8" s="72"/>
      <c r="I8" s="72">
        <v>0</v>
      </c>
      <c r="J8" s="72">
        <v>0</v>
      </c>
      <c r="K8" s="72"/>
      <c r="L8" s="72"/>
      <c r="M8" s="74">
        <f>I8+J8+K8+L8</f>
        <v>0</v>
      </c>
      <c r="N8" s="74">
        <f t="shared" si="0"/>
        <v>-56681</v>
      </c>
      <c r="O8" s="75"/>
      <c r="P8" s="74">
        <v>0</v>
      </c>
      <c r="Q8" s="74">
        <f t="shared" si="1"/>
        <v>0</v>
      </c>
      <c r="R8" s="75"/>
      <c r="S8" s="74">
        <v>0</v>
      </c>
      <c r="T8" s="74">
        <f t="shared" si="2"/>
        <v>0</v>
      </c>
      <c r="U8" s="75"/>
      <c r="V8" s="74">
        <v>0</v>
      </c>
      <c r="W8" s="74">
        <f t="shared" si="3"/>
        <v>0</v>
      </c>
      <c r="X8" s="75"/>
      <c r="Y8" s="76">
        <v>0</v>
      </c>
      <c r="Z8" s="77"/>
      <c r="AA8" s="77"/>
    </row>
    <row r="9" spans="1:28" x14ac:dyDescent="0.25">
      <c r="A9" s="1" t="s">
        <v>30</v>
      </c>
      <c r="B9" s="68" t="s">
        <v>34</v>
      </c>
      <c r="C9" s="69" t="s">
        <v>35</v>
      </c>
      <c r="D9" s="70" t="s">
        <v>36</v>
      </c>
      <c r="E9" s="78">
        <v>7225776.9376190836</v>
      </c>
      <c r="F9" s="79">
        <v>7591842.1270126393</v>
      </c>
      <c r="G9" s="73">
        <v>8850089.160313068</v>
      </c>
      <c r="H9" s="79"/>
      <c r="I9" s="72">
        <v>0</v>
      </c>
      <c r="J9" s="72">
        <v>0</v>
      </c>
      <c r="K9" s="72"/>
      <c r="L9" s="79">
        <f>[4]Vertetie_ienemumi!C25</f>
        <v>9764041.9579276983</v>
      </c>
      <c r="M9" s="74">
        <f>I9+J9+K9+L9</f>
        <v>9764041.9579276983</v>
      </c>
      <c r="N9" s="74">
        <f t="shared" si="0"/>
        <v>913952.79761463031</v>
      </c>
      <c r="O9" s="75"/>
      <c r="P9" s="74">
        <v>9764041.9579276983</v>
      </c>
      <c r="Q9" s="74">
        <f t="shared" si="1"/>
        <v>0</v>
      </c>
      <c r="R9" s="75"/>
      <c r="S9" s="74">
        <v>9764041.9579276983</v>
      </c>
      <c r="T9" s="74">
        <f t="shared" si="2"/>
        <v>0</v>
      </c>
      <c r="U9" s="75"/>
      <c r="V9" s="74">
        <v>9764041.9579276983</v>
      </c>
      <c r="W9" s="74">
        <f t="shared" si="3"/>
        <v>0</v>
      </c>
      <c r="X9" s="75"/>
      <c r="Y9" s="76">
        <v>2177840</v>
      </c>
      <c r="Z9" s="77">
        <f t="shared" si="4"/>
        <v>0.22304697269676835</v>
      </c>
      <c r="AA9" s="77"/>
    </row>
    <row r="10" spans="1:28" ht="29.25" x14ac:dyDescent="0.25">
      <c r="B10" s="1" t="s">
        <v>37</v>
      </c>
      <c r="C10" s="80" t="s">
        <v>38</v>
      </c>
      <c r="D10" s="81" t="s">
        <v>39</v>
      </c>
      <c r="E10" s="82">
        <f t="shared" ref="E10:M10" si="5">SUM(E11:E12)</f>
        <v>986350</v>
      </c>
      <c r="F10" s="83">
        <f t="shared" si="5"/>
        <v>1033843</v>
      </c>
      <c r="G10" s="84">
        <f>SUM(G11:G12)</f>
        <v>994116.8</v>
      </c>
      <c r="H10" s="83">
        <f t="shared" si="5"/>
        <v>0</v>
      </c>
      <c r="I10" s="83">
        <f t="shared" si="5"/>
        <v>0</v>
      </c>
      <c r="J10" s="83">
        <f t="shared" si="5"/>
        <v>0</v>
      </c>
      <c r="K10" s="83">
        <f t="shared" si="5"/>
        <v>0</v>
      </c>
      <c r="L10" s="83">
        <f t="shared" si="5"/>
        <v>974062</v>
      </c>
      <c r="M10" s="85">
        <f t="shared" si="5"/>
        <v>974062</v>
      </c>
      <c r="N10" s="85">
        <f t="shared" si="0"/>
        <v>-20054.800000000047</v>
      </c>
      <c r="O10" s="86">
        <f>N10/G10</f>
        <v>-2.0173484644862703E-2</v>
      </c>
      <c r="P10" s="85">
        <f>SUM(P11:P12)</f>
        <v>974062</v>
      </c>
      <c r="Q10" s="85">
        <f t="shared" si="1"/>
        <v>0</v>
      </c>
      <c r="R10" s="86"/>
      <c r="S10" s="85">
        <f>SUM(S11:S12)</f>
        <v>967239.39999999991</v>
      </c>
      <c r="T10" s="85">
        <f t="shared" si="2"/>
        <v>-6822.6000000000931</v>
      </c>
      <c r="U10" s="86"/>
      <c r="V10" s="85">
        <f>SUM(V11:V12)</f>
        <v>967239.39999999991</v>
      </c>
      <c r="W10" s="85">
        <f t="shared" si="3"/>
        <v>0</v>
      </c>
      <c r="X10" s="86"/>
      <c r="Y10" s="87">
        <f>SUM(Y11:Y12)</f>
        <v>503758</v>
      </c>
      <c r="Z10" s="88">
        <f t="shared" si="4"/>
        <v>0.52082038841676637</v>
      </c>
      <c r="AA10" s="88"/>
    </row>
    <row r="11" spans="1:28" x14ac:dyDescent="0.25">
      <c r="A11" s="1" t="s">
        <v>30</v>
      </c>
      <c r="B11" s="68" t="s">
        <v>40</v>
      </c>
      <c r="C11" s="69" t="s">
        <v>41</v>
      </c>
      <c r="D11" s="70" t="s">
        <v>36</v>
      </c>
      <c r="E11" s="89">
        <f>[3]Groz_NIN_12_2014!F32</f>
        <v>905997</v>
      </c>
      <c r="F11" s="90">
        <f>927636</f>
        <v>927636</v>
      </c>
      <c r="G11" s="91">
        <v>911340</v>
      </c>
      <c r="H11" s="90"/>
      <c r="I11" s="90"/>
      <c r="J11" s="90"/>
      <c r="K11" s="90"/>
      <c r="L11" s="90">
        <f>[4]Vertetie_ienemumi!D25</f>
        <v>932058</v>
      </c>
      <c r="M11" s="74">
        <f>I11+J11+K11+L11</f>
        <v>932058</v>
      </c>
      <c r="N11" s="92">
        <f t="shared" si="0"/>
        <v>20718</v>
      </c>
      <c r="O11" s="93"/>
      <c r="P11" s="92">
        <v>932058</v>
      </c>
      <c r="Q11" s="92">
        <f t="shared" si="1"/>
        <v>0</v>
      </c>
      <c r="R11" s="93"/>
      <c r="S11" s="92">
        <f>973932*0.95</f>
        <v>925235.39999999991</v>
      </c>
      <c r="T11" s="92">
        <f t="shared" si="2"/>
        <v>-6822.6000000000931</v>
      </c>
      <c r="U11" s="93" t="s">
        <v>42</v>
      </c>
      <c r="V11" s="92">
        <f>973932*0.95</f>
        <v>925235.39999999991</v>
      </c>
      <c r="W11" s="92">
        <f t="shared" si="3"/>
        <v>0</v>
      </c>
      <c r="X11" s="93"/>
      <c r="Y11" s="94">
        <v>469674</v>
      </c>
      <c r="Z11" s="95">
        <f t="shared" si="4"/>
        <v>0.50762649159338269</v>
      </c>
      <c r="AA11" s="95"/>
      <c r="AB11" s="96"/>
    </row>
    <row r="12" spans="1:28" x14ac:dyDescent="0.25">
      <c r="A12" s="1" t="s">
        <v>30</v>
      </c>
      <c r="B12" s="68" t="s">
        <v>43</v>
      </c>
      <c r="C12" s="69" t="s">
        <v>44</v>
      </c>
      <c r="D12" s="70" t="s">
        <v>45</v>
      </c>
      <c r="E12" s="71">
        <f>[3]Groz_NIN_12_2014!F33</f>
        <v>80353</v>
      </c>
      <c r="F12" s="72">
        <f>212414*0.5</f>
        <v>106207</v>
      </c>
      <c r="G12" s="73">
        <v>82776.800000000003</v>
      </c>
      <c r="H12" s="72"/>
      <c r="I12" s="72"/>
      <c r="J12" s="72"/>
      <c r="K12" s="72"/>
      <c r="L12" s="72">
        <v>42004</v>
      </c>
      <c r="M12" s="74">
        <f>I12+J12+K12+L12</f>
        <v>42004</v>
      </c>
      <c r="N12" s="74">
        <f t="shared" si="0"/>
        <v>-40772.800000000003</v>
      </c>
      <c r="O12" s="97"/>
      <c r="P12" s="74">
        <v>42004</v>
      </c>
      <c r="Q12" s="74">
        <f t="shared" si="1"/>
        <v>0</v>
      </c>
      <c r="R12" s="97"/>
      <c r="S12" s="74">
        <v>42004</v>
      </c>
      <c r="T12" s="74">
        <f t="shared" si="2"/>
        <v>0</v>
      </c>
      <c r="U12" s="97"/>
      <c r="V12" s="74">
        <v>42004</v>
      </c>
      <c r="W12" s="74">
        <f t="shared" si="3"/>
        <v>0</v>
      </c>
      <c r="X12" s="97"/>
      <c r="Y12" s="76">
        <v>34084</v>
      </c>
      <c r="Z12" s="77">
        <f t="shared" si="4"/>
        <v>0.8114465289020093</v>
      </c>
      <c r="AA12" s="77"/>
    </row>
    <row r="13" spans="1:28" ht="29.25" x14ac:dyDescent="0.25">
      <c r="B13" s="1" t="s">
        <v>46</v>
      </c>
      <c r="C13" s="80" t="s">
        <v>47</v>
      </c>
      <c r="D13" s="81" t="s">
        <v>48</v>
      </c>
      <c r="E13" s="82">
        <f t="shared" ref="E13:M13" si="6">SUM(E14:E15)</f>
        <v>293361</v>
      </c>
      <c r="F13" s="83">
        <f t="shared" si="6"/>
        <v>310930.75</v>
      </c>
      <c r="G13" s="84">
        <f>SUM(G14:G15)</f>
        <v>298773.40000000002</v>
      </c>
      <c r="H13" s="83">
        <f t="shared" si="6"/>
        <v>0</v>
      </c>
      <c r="I13" s="83">
        <f t="shared" si="6"/>
        <v>0</v>
      </c>
      <c r="J13" s="83">
        <f t="shared" si="6"/>
        <v>0</v>
      </c>
      <c r="K13" s="83">
        <f t="shared" si="6"/>
        <v>0</v>
      </c>
      <c r="L13" s="83">
        <f t="shared" si="6"/>
        <v>258899</v>
      </c>
      <c r="M13" s="85">
        <f t="shared" si="6"/>
        <v>258899</v>
      </c>
      <c r="N13" s="85">
        <f t="shared" si="0"/>
        <v>-39874.400000000023</v>
      </c>
      <c r="O13" s="86">
        <f>N13/G13</f>
        <v>-0.13346034151634656</v>
      </c>
      <c r="P13" s="85">
        <f>SUM(P14:P15)</f>
        <v>258899</v>
      </c>
      <c r="Q13" s="85">
        <f t="shared" si="1"/>
        <v>0</v>
      </c>
      <c r="R13" s="86"/>
      <c r="S13" s="85">
        <f>SUM(S14:S15)</f>
        <v>325172.39999999997</v>
      </c>
      <c r="T13" s="85">
        <f t="shared" si="2"/>
        <v>66273.399999999965</v>
      </c>
      <c r="U13" s="86"/>
      <c r="V13" s="85">
        <f>SUM(V14:V15)</f>
        <v>325172.39999999997</v>
      </c>
      <c r="W13" s="85">
        <f t="shared" si="3"/>
        <v>0</v>
      </c>
      <c r="X13" s="86"/>
      <c r="Y13" s="87">
        <f>SUM(Y14:Y15)</f>
        <v>118974</v>
      </c>
      <c r="Z13" s="88">
        <f t="shared" si="4"/>
        <v>0.36587976101292735</v>
      </c>
      <c r="AA13" s="88"/>
    </row>
    <row r="14" spans="1:28" x14ac:dyDescent="0.25">
      <c r="A14" s="1" t="s">
        <v>30</v>
      </c>
      <c r="B14" s="68" t="s">
        <v>49</v>
      </c>
      <c r="C14" s="69" t="s">
        <v>50</v>
      </c>
      <c r="D14" s="70" t="s">
        <v>51</v>
      </c>
      <c r="E14" s="98">
        <f>[3]Groz_NIN_12_2014!F35</f>
        <v>272018</v>
      </c>
      <c r="F14" s="99">
        <f>271399</f>
        <v>271399</v>
      </c>
      <c r="G14" s="100">
        <v>265635</v>
      </c>
      <c r="H14" s="99"/>
      <c r="I14" s="99"/>
      <c r="J14" s="99"/>
      <c r="K14" s="99"/>
      <c r="L14" s="99">
        <f>[4]Vertetie_ienemumi!E25</f>
        <v>230822</v>
      </c>
      <c r="M14" s="74">
        <f>I14+J14+K14+L14</f>
        <v>230822</v>
      </c>
      <c r="N14" s="101">
        <f t="shared" si="0"/>
        <v>-34813</v>
      </c>
      <c r="O14" s="102"/>
      <c r="P14" s="101">
        <v>230822</v>
      </c>
      <c r="Q14" s="101">
        <f t="shared" si="1"/>
        <v>0</v>
      </c>
      <c r="R14" s="102"/>
      <c r="S14" s="101">
        <f>312732*0.95</f>
        <v>297095.39999999997</v>
      </c>
      <c r="T14" s="101">
        <f t="shared" si="2"/>
        <v>66273.399999999965</v>
      </c>
      <c r="U14" s="93" t="s">
        <v>42</v>
      </c>
      <c r="V14" s="101">
        <f>312732*0.95</f>
        <v>297095.39999999997</v>
      </c>
      <c r="W14" s="101">
        <f t="shared" si="3"/>
        <v>0</v>
      </c>
      <c r="X14" s="93"/>
      <c r="Y14" s="103">
        <v>106488</v>
      </c>
      <c r="Z14" s="104">
        <f t="shared" si="4"/>
        <v>0.35843032238129574</v>
      </c>
      <c r="AA14" s="104"/>
    </row>
    <row r="15" spans="1:28" x14ac:dyDescent="0.25">
      <c r="A15" s="1" t="s">
        <v>30</v>
      </c>
      <c r="B15" s="68" t="s">
        <v>52</v>
      </c>
      <c r="C15" s="69" t="s">
        <v>53</v>
      </c>
      <c r="D15" s="70" t="s">
        <v>45</v>
      </c>
      <c r="E15" s="71">
        <f>[3]Groz_NIN_12_2014!F36</f>
        <v>21343</v>
      </c>
      <c r="F15" s="105">
        <f>52709*0.75</f>
        <v>39531.75</v>
      </c>
      <c r="G15" s="73">
        <v>33138.400000000001</v>
      </c>
      <c r="H15" s="72"/>
      <c r="I15" s="72"/>
      <c r="J15" s="72"/>
      <c r="K15" s="72"/>
      <c r="L15" s="72">
        <v>28077</v>
      </c>
      <c r="M15" s="74">
        <f>I15+J15+K15+L15</f>
        <v>28077</v>
      </c>
      <c r="N15" s="74">
        <f t="shared" si="0"/>
        <v>-5061.4000000000015</v>
      </c>
      <c r="O15" s="97"/>
      <c r="P15" s="74">
        <v>28077</v>
      </c>
      <c r="Q15" s="74">
        <f t="shared" si="1"/>
        <v>0</v>
      </c>
      <c r="R15" s="97"/>
      <c r="S15" s="74">
        <v>28077</v>
      </c>
      <c r="T15" s="74">
        <f t="shared" si="2"/>
        <v>0</v>
      </c>
      <c r="U15" s="97"/>
      <c r="V15" s="74">
        <v>28077</v>
      </c>
      <c r="W15" s="74">
        <f t="shared" si="3"/>
        <v>0</v>
      </c>
      <c r="X15" s="97"/>
      <c r="Y15" s="76">
        <v>12486</v>
      </c>
      <c r="Z15" s="77">
        <f t="shared" si="4"/>
        <v>0.44470563094347687</v>
      </c>
      <c r="AA15" s="77"/>
    </row>
    <row r="16" spans="1:28" ht="29.25" x14ac:dyDescent="0.25">
      <c r="B16" s="1" t="s">
        <v>54</v>
      </c>
      <c r="C16" s="80" t="s">
        <v>55</v>
      </c>
      <c r="D16" s="81" t="s">
        <v>56</v>
      </c>
      <c r="E16" s="82">
        <f t="shared" ref="E16:L16" si="7">SUM(E17:E18)</f>
        <v>270823</v>
      </c>
      <c r="F16" s="83">
        <f t="shared" si="7"/>
        <v>266925</v>
      </c>
      <c r="G16" s="84">
        <f>SUM(G17:G18)</f>
        <v>275680</v>
      </c>
      <c r="H16" s="83">
        <f t="shared" si="7"/>
        <v>0</v>
      </c>
      <c r="I16" s="83">
        <f t="shared" si="7"/>
        <v>0</v>
      </c>
      <c r="J16" s="83">
        <f t="shared" si="7"/>
        <v>0</v>
      </c>
      <c r="K16" s="83">
        <f t="shared" si="7"/>
        <v>0</v>
      </c>
      <c r="L16" s="83">
        <f t="shared" si="7"/>
        <v>209786</v>
      </c>
      <c r="M16" s="85">
        <f>SUM(M17:M18)</f>
        <v>209786</v>
      </c>
      <c r="N16" s="85">
        <f t="shared" si="0"/>
        <v>-65894</v>
      </c>
      <c r="O16" s="86">
        <f>N16/G16</f>
        <v>-0.23902350551363899</v>
      </c>
      <c r="P16" s="85">
        <f>SUM(P17:P18)</f>
        <v>209786</v>
      </c>
      <c r="Q16" s="85">
        <f t="shared" si="1"/>
        <v>0</v>
      </c>
      <c r="R16" s="86"/>
      <c r="S16" s="85">
        <f>SUM(S17:S18)</f>
        <v>276609.5</v>
      </c>
      <c r="T16" s="85">
        <f t="shared" si="2"/>
        <v>66823.5</v>
      </c>
      <c r="U16" s="86"/>
      <c r="V16" s="85">
        <f>SUM(V17:V18)</f>
        <v>276609.5</v>
      </c>
      <c r="W16" s="85">
        <f t="shared" si="3"/>
        <v>0</v>
      </c>
      <c r="X16" s="86"/>
      <c r="Y16" s="87">
        <f>SUM(Y17:Y18)</f>
        <v>139493</v>
      </c>
      <c r="Z16" s="88">
        <f t="shared" si="4"/>
        <v>0.50429576713742663</v>
      </c>
      <c r="AA16" s="88"/>
    </row>
    <row r="17" spans="1:27" ht="18.75" customHeight="1" x14ac:dyDescent="0.25">
      <c r="A17" s="1" t="s">
        <v>30</v>
      </c>
      <c r="B17" s="68" t="s">
        <v>57</v>
      </c>
      <c r="C17" s="69" t="s">
        <v>58</v>
      </c>
      <c r="D17" s="70" t="s">
        <v>51</v>
      </c>
      <c r="E17" s="98">
        <f>[3]Groz_NIN_12_2014!F38</f>
        <v>237440</v>
      </c>
      <c r="F17" s="98">
        <v>218545</v>
      </c>
      <c r="G17" s="100">
        <v>244000</v>
      </c>
      <c r="H17" s="99"/>
      <c r="I17" s="99"/>
      <c r="J17" s="99"/>
      <c r="K17" s="99"/>
      <c r="L17" s="99">
        <f>[4]Vertetie_ienemumi!F25+[4]Vertetie_ienemumi!G25</f>
        <v>185905</v>
      </c>
      <c r="M17" s="74">
        <f>I17+J17+K17+L17</f>
        <v>185905</v>
      </c>
      <c r="N17" s="101">
        <f t="shared" si="0"/>
        <v>-58095</v>
      </c>
      <c r="O17" s="102"/>
      <c r="P17" s="101">
        <v>185905</v>
      </c>
      <c r="Q17" s="101">
        <f t="shared" si="1"/>
        <v>0</v>
      </c>
      <c r="R17" s="102"/>
      <c r="S17" s="101">
        <f>266030*0.95</f>
        <v>252728.5</v>
      </c>
      <c r="T17" s="101">
        <f t="shared" si="2"/>
        <v>66823.5</v>
      </c>
      <c r="U17" s="93" t="s">
        <v>42</v>
      </c>
      <c r="V17" s="101">
        <f>266030*0.95</f>
        <v>252728.5</v>
      </c>
      <c r="W17" s="101">
        <f t="shared" si="3"/>
        <v>0</v>
      </c>
      <c r="X17" s="93"/>
      <c r="Y17" s="103">
        <v>128174</v>
      </c>
      <c r="Z17" s="104">
        <f t="shared" si="4"/>
        <v>0.50716084652106908</v>
      </c>
      <c r="AA17" s="104"/>
    </row>
    <row r="18" spans="1:27" x14ac:dyDescent="0.25">
      <c r="A18" s="1" t="s">
        <v>30</v>
      </c>
      <c r="B18" s="68" t="s">
        <v>59</v>
      </c>
      <c r="C18" s="69" t="s">
        <v>60</v>
      </c>
      <c r="D18" s="70" t="s">
        <v>45</v>
      </c>
      <c r="E18" s="71">
        <f>[3]Groz_NIN_12_2014!F39</f>
        <v>33383</v>
      </c>
      <c r="F18" s="72">
        <v>48380</v>
      </c>
      <c r="G18" s="73">
        <v>31680</v>
      </c>
      <c r="H18" s="72"/>
      <c r="I18" s="72"/>
      <c r="J18" s="72"/>
      <c r="K18" s="72"/>
      <c r="L18" s="72">
        <v>23881</v>
      </c>
      <c r="M18" s="74">
        <f>I18+J18+K18+L18</f>
        <v>23881</v>
      </c>
      <c r="N18" s="74">
        <f t="shared" si="0"/>
        <v>-7799</v>
      </c>
      <c r="O18" s="102"/>
      <c r="P18" s="74">
        <v>23881</v>
      </c>
      <c r="Q18" s="74">
        <f t="shared" si="1"/>
        <v>0</v>
      </c>
      <c r="R18" s="102"/>
      <c r="S18" s="74">
        <v>23881</v>
      </c>
      <c r="T18" s="74">
        <f t="shared" si="2"/>
        <v>0</v>
      </c>
      <c r="U18" s="102"/>
      <c r="V18" s="74">
        <v>23881</v>
      </c>
      <c r="W18" s="74">
        <f t="shared" si="3"/>
        <v>0</v>
      </c>
      <c r="X18" s="102"/>
      <c r="Y18" s="94">
        <v>11319</v>
      </c>
      <c r="Z18" s="95">
        <f t="shared" si="4"/>
        <v>0.47397512666973746</v>
      </c>
      <c r="AA18" s="95"/>
    </row>
    <row r="19" spans="1:27" x14ac:dyDescent="0.25">
      <c r="B19" s="106" t="s">
        <v>61</v>
      </c>
      <c r="C19" s="80" t="s">
        <v>62</v>
      </c>
      <c r="D19" s="81" t="s">
        <v>63</v>
      </c>
      <c r="E19" s="82">
        <v>12805.846295695528</v>
      </c>
      <c r="F19" s="82">
        <v>17000</v>
      </c>
      <c r="G19" s="84">
        <v>19100</v>
      </c>
      <c r="H19" s="83"/>
      <c r="I19" s="83"/>
      <c r="J19" s="83"/>
      <c r="K19" s="83"/>
      <c r="L19" s="83">
        <v>17000</v>
      </c>
      <c r="M19" s="85">
        <f>H19+I19+J19+K19+L19</f>
        <v>17000</v>
      </c>
      <c r="N19" s="85">
        <f t="shared" si="0"/>
        <v>-2100</v>
      </c>
      <c r="O19" s="86">
        <f>N19/G19</f>
        <v>-0.1099476439790576</v>
      </c>
      <c r="P19" s="85">
        <v>17000</v>
      </c>
      <c r="Q19" s="85">
        <f t="shared" si="1"/>
        <v>0</v>
      </c>
      <c r="R19" s="86"/>
      <c r="S19" s="85">
        <v>17000</v>
      </c>
      <c r="T19" s="85">
        <f t="shared" si="2"/>
        <v>0</v>
      </c>
      <c r="U19" s="86"/>
      <c r="V19" s="85">
        <v>17000</v>
      </c>
      <c r="W19" s="85">
        <f t="shared" si="3"/>
        <v>0</v>
      </c>
      <c r="X19" s="86"/>
      <c r="Y19" s="87">
        <v>5607</v>
      </c>
      <c r="Z19" s="88">
        <f t="shared" si="4"/>
        <v>0.32982352941176468</v>
      </c>
      <c r="AA19" s="88"/>
    </row>
    <row r="20" spans="1:27" ht="29.25" x14ac:dyDescent="0.25">
      <c r="B20" s="1" t="s">
        <v>64</v>
      </c>
      <c r="C20" s="80" t="s">
        <v>65</v>
      </c>
      <c r="D20" s="81" t="s">
        <v>66</v>
      </c>
      <c r="E20" s="82">
        <f t="shared" ref="E20:L20" si="8">E21+E25</f>
        <v>20489.354073112845</v>
      </c>
      <c r="F20" s="83">
        <f t="shared" si="8"/>
        <v>20210</v>
      </c>
      <c r="G20" s="84">
        <f>G21+G25</f>
        <v>25350</v>
      </c>
      <c r="H20" s="83">
        <f t="shared" si="8"/>
        <v>0</v>
      </c>
      <c r="I20" s="83">
        <f t="shared" si="8"/>
        <v>0</v>
      </c>
      <c r="J20" s="83">
        <f t="shared" si="8"/>
        <v>0</v>
      </c>
      <c r="K20" s="83"/>
      <c r="L20" s="83">
        <f t="shared" si="8"/>
        <v>22950</v>
      </c>
      <c r="M20" s="85">
        <f>M21+M25</f>
        <v>22950</v>
      </c>
      <c r="N20" s="85">
        <f t="shared" si="0"/>
        <v>-2400</v>
      </c>
      <c r="O20" s="86">
        <f>N20/G20</f>
        <v>-9.4674556213017749E-2</v>
      </c>
      <c r="P20" s="85">
        <f>P21+P25</f>
        <v>22950</v>
      </c>
      <c r="Q20" s="85">
        <f t="shared" si="1"/>
        <v>0</v>
      </c>
      <c r="R20" s="86"/>
      <c r="S20" s="85">
        <f>S21+S25</f>
        <v>22950</v>
      </c>
      <c r="T20" s="85">
        <f t="shared" si="2"/>
        <v>0</v>
      </c>
      <c r="U20" s="86"/>
      <c r="V20" s="85">
        <f>V21+V25</f>
        <v>22950</v>
      </c>
      <c r="W20" s="85">
        <f t="shared" si="3"/>
        <v>0</v>
      </c>
      <c r="X20" s="86"/>
      <c r="Y20" s="87">
        <f>Y21+Y25</f>
        <v>5202</v>
      </c>
      <c r="Z20" s="88">
        <f t="shared" si="4"/>
        <v>0.22666666666666666</v>
      </c>
      <c r="AA20" s="88"/>
    </row>
    <row r="21" spans="1:27" x14ac:dyDescent="0.25">
      <c r="A21" s="1" t="s">
        <v>30</v>
      </c>
      <c r="B21" s="1" t="s">
        <v>67</v>
      </c>
      <c r="C21" s="69" t="s">
        <v>68</v>
      </c>
      <c r="D21" s="70" t="s">
        <v>69</v>
      </c>
      <c r="E21" s="89">
        <f t="shared" ref="E21:L21" si="9">E22+E23+E24</f>
        <v>2490.025668607464</v>
      </c>
      <c r="F21" s="89">
        <f t="shared" si="9"/>
        <v>3800</v>
      </c>
      <c r="G21" s="91">
        <f>G22+G23+G24</f>
        <v>4445</v>
      </c>
      <c r="H21" s="90">
        <f t="shared" si="9"/>
        <v>0</v>
      </c>
      <c r="I21" s="90">
        <f t="shared" si="9"/>
        <v>0</v>
      </c>
      <c r="J21" s="90">
        <f t="shared" si="9"/>
        <v>0</v>
      </c>
      <c r="K21" s="90"/>
      <c r="L21" s="90">
        <f t="shared" si="9"/>
        <v>4000</v>
      </c>
      <c r="M21" s="92">
        <f>M22+M23+M24</f>
        <v>4000</v>
      </c>
      <c r="N21" s="92">
        <f t="shared" si="0"/>
        <v>-445</v>
      </c>
      <c r="O21" s="93"/>
      <c r="P21" s="92">
        <f>P22+P23+P24</f>
        <v>4000</v>
      </c>
      <c r="Q21" s="92">
        <f t="shared" si="1"/>
        <v>0</v>
      </c>
      <c r="R21" s="93"/>
      <c r="S21" s="92">
        <f>S22+S23+S24</f>
        <v>4000</v>
      </c>
      <c r="T21" s="92">
        <f t="shared" si="2"/>
        <v>0</v>
      </c>
      <c r="U21" s="93"/>
      <c r="V21" s="92">
        <f>V22+V23+V24</f>
        <v>4000</v>
      </c>
      <c r="W21" s="92">
        <f t="shared" si="3"/>
        <v>0</v>
      </c>
      <c r="X21" s="93"/>
      <c r="Y21" s="94">
        <f>Y22+Y23+Y24</f>
        <v>867</v>
      </c>
      <c r="Z21" s="95">
        <f t="shared" si="4"/>
        <v>0.21675</v>
      </c>
      <c r="AA21" s="95"/>
    </row>
    <row r="22" spans="1:27" ht="26.25" x14ac:dyDescent="0.25">
      <c r="B22" s="68" t="s">
        <v>70</v>
      </c>
      <c r="C22" s="107" t="s">
        <v>71</v>
      </c>
      <c r="D22" s="108" t="s">
        <v>72</v>
      </c>
      <c r="E22" s="89">
        <v>1138.2974485062691</v>
      </c>
      <c r="F22" s="89">
        <v>1300</v>
      </c>
      <c r="G22" s="91">
        <v>2155</v>
      </c>
      <c r="H22" s="90"/>
      <c r="I22" s="90"/>
      <c r="J22" s="90"/>
      <c r="K22" s="90"/>
      <c r="L22" s="90">
        <v>1800</v>
      </c>
      <c r="M22" s="74">
        <f>I22+J22+K22+L22</f>
        <v>1800</v>
      </c>
      <c r="N22" s="92">
        <f t="shared" si="0"/>
        <v>-355</v>
      </c>
      <c r="O22" s="75"/>
      <c r="P22" s="92">
        <v>1800</v>
      </c>
      <c r="Q22" s="92">
        <f t="shared" si="1"/>
        <v>0</v>
      </c>
      <c r="R22" s="75"/>
      <c r="S22" s="92">
        <v>1800</v>
      </c>
      <c r="T22" s="92">
        <f t="shared" si="2"/>
        <v>0</v>
      </c>
      <c r="U22" s="75"/>
      <c r="V22" s="92">
        <v>1800</v>
      </c>
      <c r="W22" s="92">
        <f t="shared" si="3"/>
        <v>0</v>
      </c>
      <c r="X22" s="75"/>
      <c r="Y22" s="94">
        <v>290</v>
      </c>
      <c r="Z22" s="95">
        <f t="shared" si="4"/>
        <v>0.16111111111111112</v>
      </c>
      <c r="AA22" s="95"/>
    </row>
    <row r="23" spans="1:27" ht="39" x14ac:dyDescent="0.25">
      <c r="B23" s="68" t="s">
        <v>73</v>
      </c>
      <c r="C23" s="107" t="s">
        <v>74</v>
      </c>
      <c r="D23" s="108" t="s">
        <v>75</v>
      </c>
      <c r="E23" s="89">
        <v>853.72308637970195</v>
      </c>
      <c r="F23" s="89">
        <f>1500+500</f>
        <v>2000</v>
      </c>
      <c r="G23" s="91">
        <v>1990</v>
      </c>
      <c r="H23" s="90"/>
      <c r="I23" s="90"/>
      <c r="J23" s="90"/>
      <c r="K23" s="90"/>
      <c r="L23" s="90">
        <v>1900</v>
      </c>
      <c r="M23" s="74">
        <f>I23+J23+K23+L23</f>
        <v>1900</v>
      </c>
      <c r="N23" s="92">
        <f t="shared" si="0"/>
        <v>-90</v>
      </c>
      <c r="O23" s="109"/>
      <c r="P23" s="92">
        <v>1900</v>
      </c>
      <c r="Q23" s="92">
        <f t="shared" si="1"/>
        <v>0</v>
      </c>
      <c r="R23" s="109"/>
      <c r="S23" s="92">
        <v>1900</v>
      </c>
      <c r="T23" s="92">
        <f t="shared" si="2"/>
        <v>0</v>
      </c>
      <c r="U23" s="109"/>
      <c r="V23" s="92">
        <v>1900</v>
      </c>
      <c r="W23" s="92">
        <f t="shared" si="3"/>
        <v>0</v>
      </c>
      <c r="X23" s="109"/>
      <c r="Y23" s="94">
        <v>534</v>
      </c>
      <c r="Z23" s="95">
        <f t="shared" si="4"/>
        <v>0.28105263157894739</v>
      </c>
      <c r="AA23" s="95"/>
    </row>
    <row r="24" spans="1:27" ht="26.25" x14ac:dyDescent="0.25">
      <c r="B24" s="68" t="s">
        <v>76</v>
      </c>
      <c r="C24" s="107" t="s">
        <v>77</v>
      </c>
      <c r="D24" s="108" t="s">
        <v>78</v>
      </c>
      <c r="E24" s="89">
        <v>498.00513372149277</v>
      </c>
      <c r="F24" s="89">
        <v>500</v>
      </c>
      <c r="G24" s="91">
        <v>300</v>
      </c>
      <c r="H24" s="90"/>
      <c r="I24" s="90"/>
      <c r="J24" s="90"/>
      <c r="K24" s="90"/>
      <c r="L24" s="90">
        <v>300</v>
      </c>
      <c r="M24" s="74">
        <f>I24+J24+K24+L24</f>
        <v>300</v>
      </c>
      <c r="N24" s="92">
        <f t="shared" si="0"/>
        <v>0</v>
      </c>
      <c r="O24" s="93"/>
      <c r="P24" s="92">
        <v>300</v>
      </c>
      <c r="Q24" s="92">
        <f t="shared" si="1"/>
        <v>0</v>
      </c>
      <c r="R24" s="93"/>
      <c r="S24" s="92">
        <v>300</v>
      </c>
      <c r="T24" s="92">
        <f t="shared" si="2"/>
        <v>0</v>
      </c>
      <c r="U24" s="93"/>
      <c r="V24" s="92">
        <v>300</v>
      </c>
      <c r="W24" s="92">
        <f t="shared" si="3"/>
        <v>0</v>
      </c>
      <c r="X24" s="93"/>
      <c r="Y24" s="94">
        <v>43</v>
      </c>
      <c r="Z24" s="95">
        <f t="shared" si="4"/>
        <v>0.14333333333333334</v>
      </c>
      <c r="AA24" s="95"/>
    </row>
    <row r="25" spans="1:27" x14ac:dyDescent="0.25">
      <c r="A25" s="1" t="s">
        <v>30</v>
      </c>
      <c r="B25" s="1" t="s">
        <v>79</v>
      </c>
      <c r="C25" s="69" t="s">
        <v>80</v>
      </c>
      <c r="D25" s="70" t="s">
        <v>81</v>
      </c>
      <c r="E25" s="89">
        <f t="shared" ref="E25:L25" si="10">SUM(E26:E31)</f>
        <v>17999.328404505381</v>
      </c>
      <c r="F25" s="89">
        <f t="shared" si="10"/>
        <v>16410</v>
      </c>
      <c r="G25" s="91">
        <f>SUM(G26:G31)</f>
        <v>20905</v>
      </c>
      <c r="H25" s="90">
        <f t="shared" si="10"/>
        <v>0</v>
      </c>
      <c r="I25" s="90">
        <f t="shared" si="10"/>
        <v>0</v>
      </c>
      <c r="J25" s="90">
        <f t="shared" si="10"/>
        <v>0</v>
      </c>
      <c r="K25" s="90"/>
      <c r="L25" s="90">
        <f t="shared" si="10"/>
        <v>18950</v>
      </c>
      <c r="M25" s="92">
        <f>SUM(M26:M31)</f>
        <v>18950</v>
      </c>
      <c r="N25" s="92">
        <f t="shared" si="0"/>
        <v>-1955</v>
      </c>
      <c r="O25" s="75"/>
      <c r="P25" s="92">
        <f>SUM(P26:P31)</f>
        <v>18950</v>
      </c>
      <c r="Q25" s="92">
        <f t="shared" si="1"/>
        <v>0</v>
      </c>
      <c r="R25" s="75"/>
      <c r="S25" s="92">
        <f>SUM(S26:S31)</f>
        <v>18950</v>
      </c>
      <c r="T25" s="92">
        <f t="shared" si="2"/>
        <v>0</v>
      </c>
      <c r="U25" s="75"/>
      <c r="V25" s="92">
        <f>SUM(V26:V31)</f>
        <v>18950</v>
      </c>
      <c r="W25" s="92">
        <f t="shared" si="3"/>
        <v>0</v>
      </c>
      <c r="X25" s="75"/>
      <c r="Y25" s="94">
        <f>SUM(Y26:Y31)</f>
        <v>4335</v>
      </c>
      <c r="Z25" s="95">
        <f t="shared" si="4"/>
        <v>0.22875989445910291</v>
      </c>
      <c r="AA25" s="95"/>
    </row>
    <row r="26" spans="1:27" ht="26.25" x14ac:dyDescent="0.25">
      <c r="B26" s="68" t="s">
        <v>82</v>
      </c>
      <c r="C26" s="107" t="s">
        <v>83</v>
      </c>
      <c r="D26" s="110" t="s">
        <v>84</v>
      </c>
      <c r="E26" s="89">
        <v>327.26051644555241</v>
      </c>
      <c r="F26" s="89">
        <v>1300</v>
      </c>
      <c r="G26" s="91">
        <v>430</v>
      </c>
      <c r="H26" s="90"/>
      <c r="I26" s="90"/>
      <c r="J26" s="90"/>
      <c r="K26" s="90"/>
      <c r="L26" s="90">
        <v>400</v>
      </c>
      <c r="M26" s="74">
        <f t="shared" ref="M26:M31" si="11">I26+J26+K26+L26</f>
        <v>400</v>
      </c>
      <c r="N26" s="92">
        <f t="shared" si="0"/>
        <v>-30</v>
      </c>
      <c r="O26" s="93"/>
      <c r="P26" s="92">
        <v>400</v>
      </c>
      <c r="Q26" s="92">
        <f t="shared" si="1"/>
        <v>0</v>
      </c>
      <c r="R26" s="93"/>
      <c r="S26" s="92">
        <v>400</v>
      </c>
      <c r="T26" s="92">
        <f t="shared" si="2"/>
        <v>0</v>
      </c>
      <c r="U26" s="93"/>
      <c r="V26" s="92">
        <v>400</v>
      </c>
      <c r="W26" s="92">
        <f t="shared" si="3"/>
        <v>0</v>
      </c>
      <c r="X26" s="93"/>
      <c r="Y26" s="94">
        <v>90</v>
      </c>
      <c r="Z26" s="95">
        <f t="shared" si="4"/>
        <v>0.22500000000000001</v>
      </c>
      <c r="AA26" s="95"/>
    </row>
    <row r="27" spans="1:27" ht="26.25" x14ac:dyDescent="0.25">
      <c r="B27" s="68" t="s">
        <v>85</v>
      </c>
      <c r="C27" s="107" t="s">
        <v>86</v>
      </c>
      <c r="D27" s="111" t="s">
        <v>87</v>
      </c>
      <c r="E27" s="89">
        <v>3685.2379895390463</v>
      </c>
      <c r="F27" s="89">
        <v>5200</v>
      </c>
      <c r="G27" s="91">
        <v>8720</v>
      </c>
      <c r="H27" s="90"/>
      <c r="I27" s="90"/>
      <c r="J27" s="90"/>
      <c r="K27" s="90"/>
      <c r="L27" s="90">
        <v>8500</v>
      </c>
      <c r="M27" s="74">
        <f t="shared" si="11"/>
        <v>8500</v>
      </c>
      <c r="N27" s="92">
        <f t="shared" si="0"/>
        <v>-220</v>
      </c>
      <c r="O27" s="102"/>
      <c r="P27" s="92">
        <v>8500</v>
      </c>
      <c r="Q27" s="92">
        <f t="shared" si="1"/>
        <v>0</v>
      </c>
      <c r="R27" s="102"/>
      <c r="S27" s="92">
        <v>8500</v>
      </c>
      <c r="T27" s="92">
        <f t="shared" si="2"/>
        <v>0</v>
      </c>
      <c r="U27" s="102"/>
      <c r="V27" s="92">
        <v>8500</v>
      </c>
      <c r="W27" s="92">
        <f t="shared" si="3"/>
        <v>0</v>
      </c>
      <c r="X27" s="102"/>
      <c r="Y27" s="94">
        <v>2188</v>
      </c>
      <c r="Z27" s="95">
        <f t="shared" si="4"/>
        <v>0.25741176470588234</v>
      </c>
      <c r="AA27" s="95"/>
    </row>
    <row r="28" spans="1:27" x14ac:dyDescent="0.25">
      <c r="B28" s="68" t="s">
        <v>88</v>
      </c>
      <c r="C28" s="107" t="s">
        <v>89</v>
      </c>
      <c r="D28" s="108" t="s">
        <v>90</v>
      </c>
      <c r="E28" s="89">
        <v>42.686154318985096</v>
      </c>
      <c r="F28" s="89">
        <v>260</v>
      </c>
      <c r="G28" s="91">
        <v>300</v>
      </c>
      <c r="H28" s="90"/>
      <c r="I28" s="90"/>
      <c r="J28" s="90"/>
      <c r="K28" s="90"/>
      <c r="L28" s="90">
        <v>250</v>
      </c>
      <c r="M28" s="74">
        <f t="shared" si="11"/>
        <v>250</v>
      </c>
      <c r="N28" s="92">
        <f t="shared" si="0"/>
        <v>-50</v>
      </c>
      <c r="O28" s="102"/>
      <c r="P28" s="92">
        <v>250</v>
      </c>
      <c r="Q28" s="92">
        <f t="shared" si="1"/>
        <v>0</v>
      </c>
      <c r="R28" s="102"/>
      <c r="S28" s="92">
        <v>250</v>
      </c>
      <c r="T28" s="92">
        <f t="shared" si="2"/>
        <v>0</v>
      </c>
      <c r="U28" s="102"/>
      <c r="V28" s="92">
        <v>250</v>
      </c>
      <c r="W28" s="92">
        <f t="shared" si="3"/>
        <v>0</v>
      </c>
      <c r="X28" s="102"/>
      <c r="Y28" s="94">
        <v>200</v>
      </c>
      <c r="Z28" s="95">
        <f t="shared" si="4"/>
        <v>0.8</v>
      </c>
      <c r="AA28" s="95"/>
    </row>
    <row r="29" spans="1:27" ht="39" x14ac:dyDescent="0.25">
      <c r="B29" s="68" t="s">
        <v>91</v>
      </c>
      <c r="C29" s="107" t="s">
        <v>92</v>
      </c>
      <c r="D29" s="108" t="s">
        <v>93</v>
      </c>
      <c r="E29" s="89">
        <v>4553.1897940250765</v>
      </c>
      <c r="F29" s="89">
        <f>4000-400</f>
        <v>3600</v>
      </c>
      <c r="G29" s="91">
        <v>2040</v>
      </c>
      <c r="H29" s="90"/>
      <c r="I29" s="90"/>
      <c r="J29" s="90"/>
      <c r="K29" s="90"/>
      <c r="L29" s="90">
        <v>1800</v>
      </c>
      <c r="M29" s="74">
        <f t="shared" si="11"/>
        <v>1800</v>
      </c>
      <c r="N29" s="92">
        <f t="shared" si="0"/>
        <v>-240</v>
      </c>
      <c r="O29" s="102"/>
      <c r="P29" s="92">
        <v>1800</v>
      </c>
      <c r="Q29" s="92">
        <f t="shared" si="1"/>
        <v>0</v>
      </c>
      <c r="R29" s="102"/>
      <c r="S29" s="92">
        <v>1800</v>
      </c>
      <c r="T29" s="92">
        <f t="shared" si="2"/>
        <v>0</v>
      </c>
      <c r="U29" s="102"/>
      <c r="V29" s="92">
        <v>1800</v>
      </c>
      <c r="W29" s="92">
        <f t="shared" si="3"/>
        <v>0</v>
      </c>
      <c r="X29" s="102"/>
      <c r="Y29" s="94">
        <v>446</v>
      </c>
      <c r="Z29" s="95">
        <f t="shared" si="4"/>
        <v>0.24777777777777779</v>
      </c>
      <c r="AA29" s="95"/>
    </row>
    <row r="30" spans="1:27" ht="26.25" x14ac:dyDescent="0.25">
      <c r="B30" s="68" t="s">
        <v>94</v>
      </c>
      <c r="C30" s="107" t="s">
        <v>95</v>
      </c>
      <c r="D30" s="108" t="s">
        <v>96</v>
      </c>
      <c r="E30" s="89">
        <v>6545.2103289110482</v>
      </c>
      <c r="F30" s="89">
        <v>5500</v>
      </c>
      <c r="G30" s="91">
        <v>8800</v>
      </c>
      <c r="H30" s="90"/>
      <c r="I30" s="90"/>
      <c r="J30" s="90"/>
      <c r="K30" s="90"/>
      <c r="L30" s="90">
        <v>7500</v>
      </c>
      <c r="M30" s="74">
        <f t="shared" si="11"/>
        <v>7500</v>
      </c>
      <c r="N30" s="92">
        <f t="shared" si="0"/>
        <v>-1300</v>
      </c>
      <c r="O30" s="102"/>
      <c r="P30" s="92">
        <v>7500</v>
      </c>
      <c r="Q30" s="92">
        <f t="shared" si="1"/>
        <v>0</v>
      </c>
      <c r="R30" s="102"/>
      <c r="S30" s="92">
        <v>7500</v>
      </c>
      <c r="T30" s="92">
        <f t="shared" si="2"/>
        <v>0</v>
      </c>
      <c r="U30" s="102"/>
      <c r="V30" s="92">
        <v>7500</v>
      </c>
      <c r="W30" s="92">
        <f t="shared" si="3"/>
        <v>0</v>
      </c>
      <c r="X30" s="102"/>
      <c r="Y30" s="94">
        <v>1268</v>
      </c>
      <c r="Z30" s="95">
        <f t="shared" si="4"/>
        <v>0.16906666666666667</v>
      </c>
      <c r="AA30" s="95"/>
    </row>
    <row r="31" spans="1:27" x14ac:dyDescent="0.25">
      <c r="B31" s="68" t="s">
        <v>97</v>
      </c>
      <c r="C31" s="107" t="s">
        <v>98</v>
      </c>
      <c r="D31" s="108" t="s">
        <v>99</v>
      </c>
      <c r="E31" s="89">
        <v>2845.743621265673</v>
      </c>
      <c r="F31" s="89">
        <f>150+400</f>
        <v>550</v>
      </c>
      <c r="G31" s="91">
        <v>615</v>
      </c>
      <c r="H31" s="90"/>
      <c r="I31" s="90"/>
      <c r="J31" s="90"/>
      <c r="K31" s="90"/>
      <c r="L31" s="90">
        <v>500</v>
      </c>
      <c r="M31" s="74">
        <f t="shared" si="11"/>
        <v>500</v>
      </c>
      <c r="N31" s="92">
        <f t="shared" si="0"/>
        <v>-115</v>
      </c>
      <c r="O31" s="93"/>
      <c r="P31" s="92">
        <v>500</v>
      </c>
      <c r="Q31" s="92">
        <f t="shared" si="1"/>
        <v>0</v>
      </c>
      <c r="R31" s="93"/>
      <c r="S31" s="92">
        <v>500</v>
      </c>
      <c r="T31" s="92">
        <f t="shared" si="2"/>
        <v>0</v>
      </c>
      <c r="U31" s="93"/>
      <c r="V31" s="92">
        <v>500</v>
      </c>
      <c r="W31" s="92">
        <f t="shared" si="3"/>
        <v>0</v>
      </c>
      <c r="X31" s="93"/>
      <c r="Y31" s="94">
        <v>143</v>
      </c>
      <c r="Z31" s="95">
        <f t="shared" si="4"/>
        <v>0.28599999999999998</v>
      </c>
      <c r="AA31" s="95"/>
    </row>
    <row r="32" spans="1:27" x14ac:dyDescent="0.25">
      <c r="B32" s="1" t="s">
        <v>100</v>
      </c>
      <c r="C32" s="80" t="s">
        <v>101</v>
      </c>
      <c r="D32" s="81" t="s">
        <v>102</v>
      </c>
      <c r="E32" s="82">
        <f>SUM(E33:E35)</f>
        <v>46954.769750883599</v>
      </c>
      <c r="F32" s="82">
        <f>F33+F34+F35</f>
        <v>25000</v>
      </c>
      <c r="G32" s="84">
        <f>G33+G34+G35</f>
        <v>27300</v>
      </c>
      <c r="H32" s="83">
        <f>SUM(H33:H35)</f>
        <v>0</v>
      </c>
      <c r="I32" s="83">
        <f>SUM(I33:I35)</f>
        <v>0</v>
      </c>
      <c r="J32" s="83">
        <f>SUM(J33:J35)</f>
        <v>0</v>
      </c>
      <c r="K32" s="83"/>
      <c r="L32" s="83">
        <f>L33+L34+L35</f>
        <v>23215</v>
      </c>
      <c r="M32" s="85">
        <f>M33+M34</f>
        <v>23215</v>
      </c>
      <c r="N32" s="85">
        <f t="shared" si="0"/>
        <v>-4085</v>
      </c>
      <c r="O32" s="86">
        <f>N32/G32</f>
        <v>-0.14963369963369963</v>
      </c>
      <c r="P32" s="85">
        <f>P33+P34+P35</f>
        <v>23215</v>
      </c>
      <c r="Q32" s="85">
        <f t="shared" si="1"/>
        <v>0</v>
      </c>
      <c r="R32" s="86"/>
      <c r="S32" s="85">
        <f>S33+S34+S35</f>
        <v>23215</v>
      </c>
      <c r="T32" s="85">
        <f t="shared" si="2"/>
        <v>0</v>
      </c>
      <c r="U32" s="86"/>
      <c r="V32" s="85">
        <f>V33+V34+V35</f>
        <v>23215</v>
      </c>
      <c r="W32" s="85">
        <f t="shared" si="3"/>
        <v>0</v>
      </c>
      <c r="X32" s="86"/>
      <c r="Y32" s="87">
        <f>Y33+Y34+Y35</f>
        <v>3564</v>
      </c>
      <c r="Z32" s="88">
        <f t="shared" si="4"/>
        <v>0.15352143010984276</v>
      </c>
      <c r="AA32" s="112" t="s">
        <v>103</v>
      </c>
    </row>
    <row r="33" spans="1:28" s="11" customFormat="1" ht="16.5" customHeight="1" x14ac:dyDescent="0.25">
      <c r="B33" s="106" t="s">
        <v>104</v>
      </c>
      <c r="C33" s="69" t="s">
        <v>105</v>
      </c>
      <c r="D33" s="70" t="s">
        <v>102</v>
      </c>
      <c r="E33" s="71">
        <v>18497.333538226874</v>
      </c>
      <c r="F33" s="71">
        <v>17000</v>
      </c>
      <c r="G33" s="73">
        <v>20300</v>
      </c>
      <c r="H33" s="72"/>
      <c r="I33" s="113"/>
      <c r="J33" s="113"/>
      <c r="K33" s="113"/>
      <c r="L33" s="72">
        <v>18000</v>
      </c>
      <c r="M33" s="74">
        <f>I33+J33+K33+L33</f>
        <v>18000</v>
      </c>
      <c r="N33" s="74">
        <f t="shared" si="0"/>
        <v>-2300</v>
      </c>
      <c r="O33" s="102"/>
      <c r="P33" s="74">
        <v>18000</v>
      </c>
      <c r="Q33" s="74">
        <f t="shared" si="1"/>
        <v>0</v>
      </c>
      <c r="R33" s="102"/>
      <c r="S33" s="74">
        <v>18000</v>
      </c>
      <c r="T33" s="74">
        <f t="shared" si="2"/>
        <v>0</v>
      </c>
      <c r="U33" s="102"/>
      <c r="V33" s="74">
        <v>18000</v>
      </c>
      <c r="W33" s="74">
        <f t="shared" si="3"/>
        <v>0</v>
      </c>
      <c r="X33" s="102"/>
      <c r="Y33" s="76">
        <v>2584</v>
      </c>
      <c r="Z33" s="77">
        <f t="shared" si="4"/>
        <v>0.14355555555555555</v>
      </c>
      <c r="AA33" s="77"/>
      <c r="AB33" s="12"/>
    </row>
    <row r="34" spans="1:28" s="11" customFormat="1" ht="30" x14ac:dyDescent="0.25">
      <c r="B34" s="106" t="s">
        <v>106</v>
      </c>
      <c r="C34" s="69" t="s">
        <v>107</v>
      </c>
      <c r="D34" s="70" t="s">
        <v>108</v>
      </c>
      <c r="E34" s="71">
        <v>0</v>
      </c>
      <c r="F34" s="71">
        <v>8000</v>
      </c>
      <c r="G34" s="73">
        <v>7000</v>
      </c>
      <c r="H34" s="72"/>
      <c r="I34" s="113"/>
      <c r="J34" s="113"/>
      <c r="K34" s="113"/>
      <c r="L34" s="72">
        <v>5215</v>
      </c>
      <c r="M34" s="74">
        <f>I34+J34+K34+L34</f>
        <v>5215</v>
      </c>
      <c r="N34" s="74">
        <f t="shared" si="0"/>
        <v>-1785</v>
      </c>
      <c r="O34" s="93"/>
      <c r="P34" s="74">
        <v>5215</v>
      </c>
      <c r="Q34" s="74">
        <f t="shared" si="1"/>
        <v>0</v>
      </c>
      <c r="R34" s="93"/>
      <c r="S34" s="74">
        <v>5215</v>
      </c>
      <c r="T34" s="74">
        <f t="shared" si="2"/>
        <v>0</v>
      </c>
      <c r="U34" s="93"/>
      <c r="V34" s="74">
        <v>5215</v>
      </c>
      <c r="W34" s="74">
        <f t="shared" si="3"/>
        <v>0</v>
      </c>
      <c r="X34" s="93"/>
      <c r="Y34" s="76">
        <v>980</v>
      </c>
      <c r="Z34" s="77">
        <f t="shared" si="4"/>
        <v>0.18791946308724833</v>
      </c>
      <c r="AA34" s="77"/>
      <c r="AB34" s="12"/>
    </row>
    <row r="35" spans="1:28" s="11" customFormat="1" ht="30" hidden="1" outlineLevel="1" x14ac:dyDescent="0.25">
      <c r="B35" s="106" t="s">
        <v>109</v>
      </c>
      <c r="C35" s="114" t="s">
        <v>107</v>
      </c>
      <c r="D35" s="70" t="s">
        <v>110</v>
      </c>
      <c r="E35" s="71">
        <v>28457.436212656728</v>
      </c>
      <c r="F35" s="71">
        <f>35000-35000</f>
        <v>0</v>
      </c>
      <c r="G35" s="73">
        <v>0</v>
      </c>
      <c r="H35" s="72"/>
      <c r="I35" s="113"/>
      <c r="J35" s="113"/>
      <c r="K35" s="113"/>
      <c r="L35" s="72">
        <f>35000-35000</f>
        <v>0</v>
      </c>
      <c r="M35" s="74">
        <f>I35+J35+L35</f>
        <v>0</v>
      </c>
      <c r="N35" s="74">
        <f t="shared" si="0"/>
        <v>0</v>
      </c>
      <c r="O35" s="97"/>
      <c r="P35" s="74">
        <v>0</v>
      </c>
      <c r="Q35" s="74">
        <f t="shared" si="1"/>
        <v>0</v>
      </c>
      <c r="R35" s="97"/>
      <c r="S35" s="74">
        <v>0</v>
      </c>
      <c r="T35" s="74">
        <f t="shared" si="2"/>
        <v>0</v>
      </c>
      <c r="U35" s="97"/>
      <c r="V35" s="74">
        <v>0</v>
      </c>
      <c r="W35" s="74">
        <f t="shared" si="3"/>
        <v>0</v>
      </c>
      <c r="X35" s="97"/>
      <c r="Y35" s="76"/>
      <c r="Z35" s="77" t="e">
        <f t="shared" si="4"/>
        <v>#DIV/0!</v>
      </c>
      <c r="AA35" s="77"/>
      <c r="AB35" s="12"/>
    </row>
    <row r="36" spans="1:28" collapsed="1" x14ac:dyDescent="0.25">
      <c r="B36" s="1" t="s">
        <v>111</v>
      </c>
      <c r="C36" s="80" t="s">
        <v>112</v>
      </c>
      <c r="D36" s="81" t="s">
        <v>113</v>
      </c>
      <c r="E36" s="82">
        <f t="shared" ref="E36:L36" si="12">SUM(E37:E39)</f>
        <v>14900</v>
      </c>
      <c r="F36" s="82">
        <f t="shared" si="12"/>
        <v>7377</v>
      </c>
      <c r="G36" s="84">
        <f>SUM(G37:G39)</f>
        <v>636</v>
      </c>
      <c r="H36" s="83">
        <f t="shared" si="12"/>
        <v>0</v>
      </c>
      <c r="I36" s="83">
        <f t="shared" si="12"/>
        <v>0</v>
      </c>
      <c r="J36" s="83">
        <f t="shared" si="12"/>
        <v>0</v>
      </c>
      <c r="K36" s="83"/>
      <c r="L36" s="83">
        <f t="shared" si="12"/>
        <v>600</v>
      </c>
      <c r="M36" s="85">
        <f>M37+M38</f>
        <v>600</v>
      </c>
      <c r="N36" s="85">
        <f t="shared" si="0"/>
        <v>-36</v>
      </c>
      <c r="O36" s="86">
        <f>N36/G36</f>
        <v>-5.6603773584905662E-2</v>
      </c>
      <c r="P36" s="85">
        <f>SUM(P37:P39)</f>
        <v>600</v>
      </c>
      <c r="Q36" s="85">
        <f t="shared" si="1"/>
        <v>0</v>
      </c>
      <c r="R36" s="86"/>
      <c r="S36" s="85">
        <f>SUM(S37:S39)</f>
        <v>600</v>
      </c>
      <c r="T36" s="85">
        <f t="shared" si="2"/>
        <v>0</v>
      </c>
      <c r="U36" s="86"/>
      <c r="V36" s="85">
        <f>SUM(V37:V39)</f>
        <v>15427</v>
      </c>
      <c r="W36" s="85">
        <f t="shared" si="3"/>
        <v>14827</v>
      </c>
      <c r="X36" s="86"/>
      <c r="Y36" s="87">
        <f>SUM(Y37:Y39)</f>
        <v>246</v>
      </c>
      <c r="Z36" s="88">
        <f t="shared" si="4"/>
        <v>1.5946068581059181E-2</v>
      </c>
      <c r="AA36" s="88"/>
    </row>
    <row r="37" spans="1:28" ht="21.75" customHeight="1" x14ac:dyDescent="0.25">
      <c r="A37" s="1" t="s">
        <v>30</v>
      </c>
      <c r="B37" s="1" t="s">
        <v>114</v>
      </c>
      <c r="C37" s="69" t="s">
        <v>115</v>
      </c>
      <c r="D37" s="115" t="s">
        <v>116</v>
      </c>
      <c r="E37" s="71">
        <v>14900</v>
      </c>
      <c r="F37" s="71">
        <f>500+5177+200+1500</f>
        <v>7377</v>
      </c>
      <c r="G37" s="73">
        <v>500</v>
      </c>
      <c r="H37" s="72"/>
      <c r="I37" s="116"/>
      <c r="J37" s="116"/>
      <c r="K37" s="116"/>
      <c r="L37" s="72">
        <v>500</v>
      </c>
      <c r="M37" s="74">
        <f>I37+J37+K37+L37</f>
        <v>500</v>
      </c>
      <c r="N37" s="74">
        <f t="shared" si="0"/>
        <v>0</v>
      </c>
      <c r="O37" s="117"/>
      <c r="P37" s="74">
        <v>500</v>
      </c>
      <c r="Q37" s="74">
        <f t="shared" si="1"/>
        <v>0</v>
      </c>
      <c r="R37" s="117"/>
      <c r="S37" s="74">
        <v>500</v>
      </c>
      <c r="T37" s="74">
        <f t="shared" si="2"/>
        <v>0</v>
      </c>
      <c r="U37" s="117"/>
      <c r="V37" s="74">
        <f>500+14827</f>
        <v>15327</v>
      </c>
      <c r="W37" s="74">
        <f t="shared" si="3"/>
        <v>14827</v>
      </c>
      <c r="X37" s="117" t="s">
        <v>117</v>
      </c>
      <c r="Y37" s="118">
        <v>0</v>
      </c>
      <c r="Z37" s="119">
        <f t="shared" si="4"/>
        <v>0</v>
      </c>
      <c r="AA37" s="120" t="s">
        <v>118</v>
      </c>
    </row>
    <row r="38" spans="1:28" s="11" customFormat="1" ht="30" x14ac:dyDescent="0.25">
      <c r="B38" s="11" t="s">
        <v>119</v>
      </c>
      <c r="C38" s="121" t="s">
        <v>120</v>
      </c>
      <c r="D38" s="122" t="s">
        <v>121</v>
      </c>
      <c r="E38" s="71">
        <f>2500-2500</f>
        <v>0</v>
      </c>
      <c r="F38" s="71">
        <f>2500-2500</f>
        <v>0</v>
      </c>
      <c r="G38" s="73">
        <v>136</v>
      </c>
      <c r="H38" s="72"/>
      <c r="I38" s="72"/>
      <c r="J38" s="72"/>
      <c r="K38" s="72"/>
      <c r="L38" s="72">
        <v>100</v>
      </c>
      <c r="M38" s="74">
        <f>I38+J38+K38+L38</f>
        <v>100</v>
      </c>
      <c r="N38" s="74">
        <f t="shared" si="0"/>
        <v>-36</v>
      </c>
      <c r="O38" s="75"/>
      <c r="P38" s="74">
        <v>100</v>
      </c>
      <c r="Q38" s="74">
        <f t="shared" si="1"/>
        <v>0</v>
      </c>
      <c r="R38" s="75"/>
      <c r="S38" s="74">
        <v>100</v>
      </c>
      <c r="T38" s="74">
        <f t="shared" si="2"/>
        <v>0</v>
      </c>
      <c r="U38" s="75"/>
      <c r="V38" s="74">
        <v>100</v>
      </c>
      <c r="W38" s="74">
        <f t="shared" si="3"/>
        <v>0</v>
      </c>
      <c r="X38" s="75"/>
      <c r="Y38" s="76">
        <v>246</v>
      </c>
      <c r="Z38" s="77">
        <f t="shared" si="4"/>
        <v>2.46</v>
      </c>
      <c r="AA38" s="77"/>
      <c r="AB38" s="12"/>
    </row>
    <row r="39" spans="1:28" s="123" customFormat="1" ht="30" hidden="1" outlineLevel="1" x14ac:dyDescent="0.25">
      <c r="B39" s="123" t="s">
        <v>122</v>
      </c>
      <c r="C39" s="124" t="s">
        <v>123</v>
      </c>
      <c r="D39" s="125" t="s">
        <v>124</v>
      </c>
      <c r="E39" s="126"/>
      <c r="F39" s="127"/>
      <c r="G39" s="128"/>
      <c r="H39" s="129"/>
      <c r="I39" s="129"/>
      <c r="J39" s="129"/>
      <c r="K39" s="129"/>
      <c r="L39" s="129"/>
      <c r="M39" s="130"/>
      <c r="N39" s="130">
        <f t="shared" si="0"/>
        <v>0</v>
      </c>
      <c r="O39" s="131"/>
      <c r="P39" s="130"/>
      <c r="Q39" s="130">
        <f t="shared" si="1"/>
        <v>0</v>
      </c>
      <c r="R39" s="131"/>
      <c r="S39" s="130"/>
      <c r="T39" s="130">
        <f t="shared" si="2"/>
        <v>0</v>
      </c>
      <c r="U39" s="131"/>
      <c r="V39" s="130"/>
      <c r="W39" s="130">
        <f t="shared" si="3"/>
        <v>0</v>
      </c>
      <c r="X39" s="131"/>
      <c r="Y39" s="132">
        <v>0</v>
      </c>
      <c r="Z39" s="133" t="e">
        <f t="shared" si="4"/>
        <v>#DIV/0!</v>
      </c>
      <c r="AA39" s="133"/>
      <c r="AB39" s="134"/>
    </row>
    <row r="40" spans="1:28" ht="29.25" collapsed="1" x14ac:dyDescent="0.25">
      <c r="B40" s="1" t="s">
        <v>125</v>
      </c>
      <c r="C40" s="135" t="s">
        <v>126</v>
      </c>
      <c r="D40" s="81" t="s">
        <v>127</v>
      </c>
      <c r="E40" s="82">
        <v>4000</v>
      </c>
      <c r="F40" s="83">
        <v>6155</v>
      </c>
      <c r="G40" s="84">
        <v>6015</v>
      </c>
      <c r="H40" s="83"/>
      <c r="I40" s="83">
        <f>SUM(I41:I42)</f>
        <v>0</v>
      </c>
      <c r="J40" s="83">
        <f>SUM(J41:J42)</f>
        <v>0</v>
      </c>
      <c r="K40" s="83"/>
      <c r="L40" s="83">
        <v>5856</v>
      </c>
      <c r="M40" s="85">
        <f>H40+I40+J40+K40+L40</f>
        <v>5856</v>
      </c>
      <c r="N40" s="85">
        <f t="shared" si="0"/>
        <v>-159</v>
      </c>
      <c r="O40" s="136">
        <f>N40/G40</f>
        <v>-2.6433915211970076E-2</v>
      </c>
      <c r="P40" s="85">
        <v>5856</v>
      </c>
      <c r="Q40" s="85">
        <f t="shared" si="1"/>
        <v>0</v>
      </c>
      <c r="R40" s="136"/>
      <c r="S40" s="85">
        <v>5856</v>
      </c>
      <c r="T40" s="85">
        <f t="shared" si="2"/>
        <v>0</v>
      </c>
      <c r="U40" s="136"/>
      <c r="V40" s="85">
        <v>5856</v>
      </c>
      <c r="W40" s="85">
        <f t="shared" si="3"/>
        <v>0</v>
      </c>
      <c r="X40" s="136"/>
      <c r="Y40" s="87">
        <v>1415</v>
      </c>
      <c r="Z40" s="88">
        <f t="shared" si="4"/>
        <v>0.2416325136612022</v>
      </c>
      <c r="AA40" s="88"/>
    </row>
    <row r="41" spans="1:28" s="123" customFormat="1" hidden="1" outlineLevel="1" x14ac:dyDescent="0.25">
      <c r="A41" s="123" t="s">
        <v>30</v>
      </c>
      <c r="C41" s="124" t="s">
        <v>128</v>
      </c>
      <c r="D41" s="125" t="s">
        <v>129</v>
      </c>
      <c r="E41" s="126"/>
      <c r="F41" s="129"/>
      <c r="G41" s="128"/>
      <c r="H41" s="129"/>
      <c r="I41" s="129"/>
      <c r="J41" s="129"/>
      <c r="K41" s="129"/>
      <c r="L41" s="129"/>
      <c r="M41" s="130"/>
      <c r="N41" s="130">
        <f t="shared" si="0"/>
        <v>0</v>
      </c>
      <c r="O41" s="131"/>
      <c r="P41" s="130"/>
      <c r="Q41" s="130">
        <f t="shared" si="1"/>
        <v>0</v>
      </c>
      <c r="R41" s="131"/>
      <c r="S41" s="130"/>
      <c r="T41" s="130">
        <f t="shared" si="2"/>
        <v>0</v>
      </c>
      <c r="U41" s="131"/>
      <c r="V41" s="130"/>
      <c r="W41" s="130">
        <f t="shared" si="3"/>
        <v>0</v>
      </c>
      <c r="X41" s="131"/>
      <c r="Y41" s="132">
        <v>0</v>
      </c>
      <c r="Z41" s="133" t="e">
        <f t="shared" si="4"/>
        <v>#DIV/0!</v>
      </c>
      <c r="AA41" s="133"/>
      <c r="AB41" s="134"/>
    </row>
    <row r="42" spans="1:28" s="123" customFormat="1" hidden="1" outlineLevel="1" x14ac:dyDescent="0.25">
      <c r="A42" s="123" t="s">
        <v>30</v>
      </c>
      <c r="B42" s="123" t="s">
        <v>130</v>
      </c>
      <c r="C42" s="124" t="s">
        <v>131</v>
      </c>
      <c r="D42" s="125" t="s">
        <v>132</v>
      </c>
      <c r="E42" s="126"/>
      <c r="F42" s="129"/>
      <c r="G42" s="128"/>
      <c r="H42" s="129"/>
      <c r="I42" s="129"/>
      <c r="J42" s="129"/>
      <c r="K42" s="129"/>
      <c r="L42" s="129"/>
      <c r="M42" s="130"/>
      <c r="N42" s="130">
        <f t="shared" si="0"/>
        <v>0</v>
      </c>
      <c r="O42" s="131"/>
      <c r="P42" s="130"/>
      <c r="Q42" s="130">
        <f t="shared" si="1"/>
        <v>0</v>
      </c>
      <c r="R42" s="131"/>
      <c r="S42" s="130"/>
      <c r="T42" s="130">
        <f t="shared" si="2"/>
        <v>0</v>
      </c>
      <c r="U42" s="131"/>
      <c r="V42" s="130"/>
      <c r="W42" s="130">
        <f t="shared" si="3"/>
        <v>0</v>
      </c>
      <c r="X42" s="131"/>
      <c r="Y42" s="132">
        <v>0</v>
      </c>
      <c r="Z42" s="133" t="e">
        <f t="shared" si="4"/>
        <v>#DIV/0!</v>
      </c>
      <c r="AA42" s="133"/>
      <c r="AB42" s="134"/>
    </row>
    <row r="43" spans="1:28" collapsed="1" x14ac:dyDescent="0.25">
      <c r="C43" s="135" t="s">
        <v>133</v>
      </c>
      <c r="D43" s="81" t="s">
        <v>134</v>
      </c>
      <c r="E43" s="82">
        <f>E44+E45+E46+E49+E52+E57+E60+E61+E63+E64+E66</f>
        <v>2376760.3918357478</v>
      </c>
      <c r="F43" s="83">
        <f>F44+F45+F46+F49+F52+F57+F60+F61+F63+F64+F66</f>
        <v>2507935.14</v>
      </c>
      <c r="G43" s="84">
        <f>G44+G45+G46+G49+G52+G57+G60+G61+G63+G64+G66</f>
        <v>3145571</v>
      </c>
      <c r="H43" s="83">
        <f>H44+H45+H46+H49+H52+H57+H60+H61+H63+H64+H66</f>
        <v>135713.37</v>
      </c>
      <c r="I43" s="83">
        <f>SUM(I44:I46)+I49+I52+SUM(I56:I66)</f>
        <v>2621381.1086800001</v>
      </c>
      <c r="J43" s="83">
        <f>SUM(J44:J49)+J52+SUM(J56:J66)</f>
        <v>1967290.13</v>
      </c>
      <c r="K43" s="83"/>
      <c r="L43" s="83">
        <f>L44+L45+L46+L49+L52+L57+L60+L61+L63+L64+L66</f>
        <v>0</v>
      </c>
      <c r="M43" s="85">
        <f>M44+M45+M46+M49+M52+M57+M60+M61+M63+M64+M66</f>
        <v>4588671.2386799995</v>
      </c>
      <c r="N43" s="85">
        <f t="shared" si="0"/>
        <v>1443100.2386799995</v>
      </c>
      <c r="O43" s="86">
        <f>N43/G43</f>
        <v>0.45877210804651986</v>
      </c>
      <c r="P43" s="85">
        <f>P44+P45+P46+P49+P52+P57+P60+P61+P63+P64+P66</f>
        <v>4642771.7186799999</v>
      </c>
      <c r="Q43" s="85">
        <f t="shared" si="1"/>
        <v>54100.480000000447</v>
      </c>
      <c r="R43" s="86"/>
      <c r="S43" s="85">
        <f>S44+S45+S46+S49+S52+S57+S60+S61+S63+S64+S66</f>
        <v>4642771.7186799999</v>
      </c>
      <c r="T43" s="85">
        <f t="shared" si="2"/>
        <v>0</v>
      </c>
      <c r="U43" s="86"/>
      <c r="V43" s="85">
        <f>V44+V45+V46+V49+V52+V57+V60+V61+V63+V64+V66</f>
        <v>4605777.2386799995</v>
      </c>
      <c r="W43" s="85">
        <f t="shared" si="3"/>
        <v>-36994.480000000447</v>
      </c>
      <c r="X43" s="86"/>
      <c r="Y43" s="87">
        <f>Y44+Y45+Y46+Y49+Y52+Y57+Y60+Y63+Y64+Y66</f>
        <v>672867</v>
      </c>
      <c r="Z43" s="88">
        <f t="shared" si="4"/>
        <v>0.14609195476263231</v>
      </c>
      <c r="AA43" s="88"/>
    </row>
    <row r="44" spans="1:28" ht="18.75" customHeight="1" x14ac:dyDescent="0.25">
      <c r="A44" s="1" t="s">
        <v>135</v>
      </c>
      <c r="B44" s="68" t="s">
        <v>136</v>
      </c>
      <c r="C44" s="69" t="s">
        <v>137</v>
      </c>
      <c r="D44" s="70" t="s">
        <v>138</v>
      </c>
      <c r="E44" s="71">
        <f>240644.617845089/11*12</f>
        <v>262521.40128555166</v>
      </c>
      <c r="F44" s="137">
        <f>300213+8967</f>
        <v>309180</v>
      </c>
      <c r="G44" s="73">
        <v>307020</v>
      </c>
      <c r="H44" s="72"/>
      <c r="I44" s="72">
        <f>275627/8*12</f>
        <v>413440.5</v>
      </c>
      <c r="J44" s="72"/>
      <c r="K44" s="72"/>
      <c r="L44" s="72"/>
      <c r="M44" s="74">
        <f t="shared" ref="M44:M49" si="13">I44+J44+K44+L44</f>
        <v>413440.5</v>
      </c>
      <c r="N44" s="74">
        <f t="shared" si="0"/>
        <v>106420.5</v>
      </c>
      <c r="O44" s="75">
        <f t="shared" ref="O44:O52" si="14">N44/G44</f>
        <v>0.34662399843658392</v>
      </c>
      <c r="P44" s="74">
        <v>413440.5</v>
      </c>
      <c r="Q44" s="74">
        <f t="shared" si="1"/>
        <v>0</v>
      </c>
      <c r="R44" s="75"/>
      <c r="S44" s="74">
        <v>413440.5</v>
      </c>
      <c r="T44" s="74">
        <f t="shared" si="2"/>
        <v>0</v>
      </c>
      <c r="U44" s="75"/>
      <c r="V44" s="74">
        <v>413440.5</v>
      </c>
      <c r="W44" s="74">
        <f t="shared" si="3"/>
        <v>0</v>
      </c>
      <c r="X44" s="75"/>
      <c r="Y44" s="138">
        <v>103359</v>
      </c>
      <c r="Z44" s="77">
        <f t="shared" si="4"/>
        <v>0.24999727893130935</v>
      </c>
      <c r="AA44" s="77"/>
    </row>
    <row r="45" spans="1:28" x14ac:dyDescent="0.25">
      <c r="A45" s="1" t="s">
        <v>135</v>
      </c>
      <c r="B45" s="106" t="s">
        <v>139</v>
      </c>
      <c r="C45" s="69" t="s">
        <v>140</v>
      </c>
      <c r="D45" s="70" t="s">
        <v>141</v>
      </c>
      <c r="E45" s="71">
        <v>37836.333333333328</v>
      </c>
      <c r="F45" s="139">
        <v>72110</v>
      </c>
      <c r="G45" s="73">
        <v>102929</v>
      </c>
      <c r="H45" s="72">
        <v>1267</v>
      </c>
      <c r="I45" s="72">
        <v>158620</v>
      </c>
      <c r="J45" s="72"/>
      <c r="K45" s="72"/>
      <c r="L45" s="72"/>
      <c r="M45" s="74">
        <f t="shared" si="13"/>
        <v>158620</v>
      </c>
      <c r="N45" s="74">
        <f t="shared" si="0"/>
        <v>55691</v>
      </c>
      <c r="O45" s="97">
        <f t="shared" si="14"/>
        <v>0.54106228565321723</v>
      </c>
      <c r="P45" s="74">
        <v>158620</v>
      </c>
      <c r="Q45" s="74">
        <f t="shared" si="1"/>
        <v>0</v>
      </c>
      <c r="R45" s="97"/>
      <c r="S45" s="74">
        <v>158620</v>
      </c>
      <c r="T45" s="74">
        <f t="shared" si="2"/>
        <v>0</v>
      </c>
      <c r="U45" s="97"/>
      <c r="V45" s="74">
        <v>158620</v>
      </c>
      <c r="W45" s="74">
        <f t="shared" si="3"/>
        <v>0</v>
      </c>
      <c r="X45" s="97"/>
      <c r="Y45" s="138">
        <v>39654</v>
      </c>
      <c r="Z45" s="77">
        <f t="shared" si="4"/>
        <v>0.24999369562476359</v>
      </c>
      <c r="AA45" s="77"/>
    </row>
    <row r="46" spans="1:28" x14ac:dyDescent="0.25">
      <c r="B46" s="106" t="s">
        <v>142</v>
      </c>
      <c r="C46" s="69" t="s">
        <v>143</v>
      </c>
      <c r="D46" s="70" t="s">
        <v>144</v>
      </c>
      <c r="E46" s="71">
        <f>SUM(E47:E48)</f>
        <v>54391.693843518253</v>
      </c>
      <c r="F46" s="139">
        <f>(21726+1704-4833)+11500*7</f>
        <v>99097</v>
      </c>
      <c r="G46" s="73">
        <v>154047</v>
      </c>
      <c r="H46" s="72">
        <f>(3642)+(47334-14156)</f>
        <v>36820</v>
      </c>
      <c r="I46" s="72">
        <f>37346+19500*8</f>
        <v>193346</v>
      </c>
      <c r="J46" s="72"/>
      <c r="K46" s="72"/>
      <c r="L46" s="72"/>
      <c r="M46" s="74">
        <f t="shared" si="13"/>
        <v>193346</v>
      </c>
      <c r="N46" s="74">
        <f t="shared" si="0"/>
        <v>39299</v>
      </c>
      <c r="O46" s="75">
        <f t="shared" si="14"/>
        <v>0.25511045330321264</v>
      </c>
      <c r="P46" s="74">
        <v>193346</v>
      </c>
      <c r="Q46" s="74">
        <f t="shared" si="1"/>
        <v>0</v>
      </c>
      <c r="R46" s="75"/>
      <c r="S46" s="74">
        <v>193346</v>
      </c>
      <c r="T46" s="74">
        <f t="shared" si="2"/>
        <v>0</v>
      </c>
      <c r="U46" s="75"/>
      <c r="V46" s="74">
        <v>193346</v>
      </c>
      <c r="W46" s="74">
        <f t="shared" si="3"/>
        <v>0</v>
      </c>
      <c r="X46" s="75"/>
      <c r="Y46" s="138">
        <f>49115+10542</f>
        <v>59657</v>
      </c>
      <c r="Z46" s="77">
        <f t="shared" si="4"/>
        <v>0.30855047427927135</v>
      </c>
      <c r="AA46" s="77"/>
    </row>
    <row r="47" spans="1:28" ht="30" hidden="1" outlineLevel="1" x14ac:dyDescent="0.25">
      <c r="A47" s="1" t="s">
        <v>135</v>
      </c>
      <c r="C47" s="107" t="s">
        <v>145</v>
      </c>
      <c r="D47" s="70" t="s">
        <v>146</v>
      </c>
      <c r="E47" s="89">
        <v>22551.949049806208</v>
      </c>
      <c r="F47" s="90">
        <v>60000</v>
      </c>
      <c r="G47" s="73">
        <v>60000</v>
      </c>
      <c r="H47" s="72"/>
      <c r="I47" s="72">
        <f>[5]Edinasana!H8</f>
        <v>0</v>
      </c>
      <c r="J47" s="72"/>
      <c r="K47" s="72"/>
      <c r="L47" s="72">
        <v>60000</v>
      </c>
      <c r="M47" s="74">
        <f t="shared" si="13"/>
        <v>60000</v>
      </c>
      <c r="N47" s="74">
        <f t="shared" si="0"/>
        <v>0</v>
      </c>
      <c r="O47" s="75">
        <f t="shared" si="14"/>
        <v>0</v>
      </c>
      <c r="P47" s="74">
        <v>60000</v>
      </c>
      <c r="Q47" s="92">
        <f t="shared" si="1"/>
        <v>0</v>
      </c>
      <c r="R47" s="75"/>
      <c r="S47" s="74">
        <v>60000</v>
      </c>
      <c r="T47" s="92">
        <f t="shared" si="2"/>
        <v>0</v>
      </c>
      <c r="U47" s="75"/>
      <c r="V47" s="74">
        <v>60000</v>
      </c>
      <c r="W47" s="92">
        <f t="shared" si="3"/>
        <v>0</v>
      </c>
      <c r="X47" s="75"/>
      <c r="Y47" s="138"/>
      <c r="Z47" s="95">
        <f t="shared" si="4"/>
        <v>0</v>
      </c>
      <c r="AA47" s="95"/>
    </row>
    <row r="48" spans="1:28" ht="30" hidden="1" outlineLevel="1" x14ac:dyDescent="0.25">
      <c r="C48" s="107" t="s">
        <v>147</v>
      </c>
      <c r="D48" s="70" t="s">
        <v>148</v>
      </c>
      <c r="E48" s="89">
        <v>31839.744793712049</v>
      </c>
      <c r="F48" s="140">
        <v>23430</v>
      </c>
      <c r="G48" s="141">
        <v>23430</v>
      </c>
      <c r="H48" s="72"/>
      <c r="I48" s="72">
        <v>0</v>
      </c>
      <c r="J48" s="72"/>
      <c r="K48" s="142"/>
      <c r="L48" s="143">
        <v>23430</v>
      </c>
      <c r="M48" s="74">
        <f t="shared" si="13"/>
        <v>23430</v>
      </c>
      <c r="N48" s="144">
        <f t="shared" si="0"/>
        <v>0</v>
      </c>
      <c r="O48" s="145">
        <f t="shared" si="14"/>
        <v>0</v>
      </c>
      <c r="P48" s="144">
        <v>23430</v>
      </c>
      <c r="Q48" s="146">
        <f t="shared" si="1"/>
        <v>0</v>
      </c>
      <c r="R48" s="145"/>
      <c r="S48" s="144">
        <v>23430</v>
      </c>
      <c r="T48" s="146">
        <f t="shared" si="2"/>
        <v>0</v>
      </c>
      <c r="U48" s="145"/>
      <c r="V48" s="144">
        <v>23430</v>
      </c>
      <c r="W48" s="146">
        <f t="shared" si="3"/>
        <v>0</v>
      </c>
      <c r="X48" s="145"/>
      <c r="Y48" s="138"/>
      <c r="Z48" s="95">
        <f t="shared" si="4"/>
        <v>0</v>
      </c>
      <c r="AA48" s="95"/>
    </row>
    <row r="49" spans="1:28" collapsed="1" x14ac:dyDescent="0.25">
      <c r="A49" s="1" t="s">
        <v>135</v>
      </c>
      <c r="B49" s="106" t="s">
        <v>149</v>
      </c>
      <c r="C49" s="69" t="s">
        <v>150</v>
      </c>
      <c r="D49" s="70" t="s">
        <v>151</v>
      </c>
      <c r="E49" s="71">
        <v>25841</v>
      </c>
      <c r="F49" s="139">
        <f>21556+3814+1632</f>
        <v>27002</v>
      </c>
      <c r="G49" s="73">
        <v>28593</v>
      </c>
      <c r="H49" s="72">
        <v>3469</v>
      </c>
      <c r="I49" s="72">
        <v>29744.108680000001</v>
      </c>
      <c r="J49" s="72">
        <f>SUM(J50:J51)</f>
        <v>0</v>
      </c>
      <c r="K49" s="72"/>
      <c r="L49" s="72"/>
      <c r="M49" s="74">
        <f t="shared" si="13"/>
        <v>29744.108680000001</v>
      </c>
      <c r="N49" s="74">
        <f t="shared" si="0"/>
        <v>1151.1086800000012</v>
      </c>
      <c r="O49" s="75">
        <f t="shared" si="14"/>
        <v>4.0258408701430465E-2</v>
      </c>
      <c r="P49" s="74">
        <v>29744.108680000001</v>
      </c>
      <c r="Q49" s="74">
        <f t="shared" si="1"/>
        <v>0</v>
      </c>
      <c r="R49" s="75"/>
      <c r="S49" s="74">
        <v>29744.108680000001</v>
      </c>
      <c r="T49" s="74">
        <f t="shared" si="2"/>
        <v>0</v>
      </c>
      <c r="U49" s="75"/>
      <c r="V49" s="74">
        <v>29744.108680000001</v>
      </c>
      <c r="W49" s="74">
        <f t="shared" si="3"/>
        <v>0</v>
      </c>
      <c r="X49" s="75"/>
      <c r="Y49" s="138"/>
      <c r="Z49" s="77">
        <f t="shared" si="4"/>
        <v>0</v>
      </c>
      <c r="AA49" s="77"/>
    </row>
    <row r="50" spans="1:28" s="123" customFormat="1" ht="26.25" hidden="1" outlineLevel="1" x14ac:dyDescent="0.25">
      <c r="A50" s="123" t="s">
        <v>135</v>
      </c>
      <c r="C50" s="147" t="s">
        <v>152</v>
      </c>
      <c r="D50" s="148" t="s">
        <v>153</v>
      </c>
      <c r="E50" s="126" t="e">
        <f>SUM(#REF!)</f>
        <v>#REF!</v>
      </c>
      <c r="F50" s="129" t="e">
        <f>SUM(#REF!)</f>
        <v>#REF!</v>
      </c>
      <c r="G50" s="128" t="e">
        <f>SUM(#REF!)</f>
        <v>#REF!</v>
      </c>
      <c r="H50" s="129"/>
      <c r="I50" s="129"/>
      <c r="J50" s="129"/>
      <c r="K50" s="129"/>
      <c r="L50" s="129" t="e">
        <f>SUM(#REF!)</f>
        <v>#REF!</v>
      </c>
      <c r="M50" s="149" t="e">
        <f>I50+J50+K50+L50</f>
        <v>#REF!</v>
      </c>
      <c r="N50" s="130" t="e">
        <f t="shared" si="0"/>
        <v>#REF!</v>
      </c>
      <c r="O50" s="131" t="e">
        <f t="shared" si="14"/>
        <v>#REF!</v>
      </c>
      <c r="P50" s="130" t="e">
        <f>SUM(#REF!)</f>
        <v>#REF!</v>
      </c>
      <c r="Q50" s="130" t="e">
        <f t="shared" si="1"/>
        <v>#REF!</v>
      </c>
      <c r="R50" s="131"/>
      <c r="S50" s="130" t="e">
        <f>SUM(#REF!)</f>
        <v>#REF!</v>
      </c>
      <c r="T50" s="130" t="e">
        <f t="shared" si="2"/>
        <v>#REF!</v>
      </c>
      <c r="U50" s="131"/>
      <c r="V50" s="130" t="e">
        <f>SUM(#REF!)</f>
        <v>#REF!</v>
      </c>
      <c r="W50" s="130" t="e">
        <f t="shared" si="3"/>
        <v>#REF!</v>
      </c>
      <c r="X50" s="131"/>
      <c r="Y50" s="138" t="e">
        <f>SUM(#REF!)</f>
        <v>#REF!</v>
      </c>
      <c r="Z50" s="133" t="e">
        <f t="shared" si="4"/>
        <v>#REF!</v>
      </c>
      <c r="AA50" s="133"/>
      <c r="AB50" s="134"/>
    </row>
    <row r="51" spans="1:28" s="123" customFormat="1" hidden="1" outlineLevel="1" x14ac:dyDescent="0.25">
      <c r="A51" s="123" t="s">
        <v>135</v>
      </c>
      <c r="C51" s="147" t="s">
        <v>154</v>
      </c>
      <c r="D51" s="148" t="s">
        <v>155</v>
      </c>
      <c r="E51" s="126" t="e">
        <f>SUM(#REF!)</f>
        <v>#REF!</v>
      </c>
      <c r="F51" s="129" t="e">
        <f>SUM(#REF!)</f>
        <v>#REF!</v>
      </c>
      <c r="G51" s="128" t="e">
        <f>SUM(#REF!)</f>
        <v>#REF!</v>
      </c>
      <c r="H51" s="129"/>
      <c r="I51" s="129"/>
      <c r="J51" s="129"/>
      <c r="K51" s="129"/>
      <c r="L51" s="129" t="e">
        <f>SUM(#REF!)</f>
        <v>#REF!</v>
      </c>
      <c r="M51" s="149" t="e">
        <f>I51+J51+K51+L51</f>
        <v>#REF!</v>
      </c>
      <c r="N51" s="130" t="e">
        <f t="shared" si="0"/>
        <v>#REF!</v>
      </c>
      <c r="O51" s="131" t="e">
        <f t="shared" si="14"/>
        <v>#REF!</v>
      </c>
      <c r="P51" s="130" t="e">
        <f>SUM(#REF!)</f>
        <v>#REF!</v>
      </c>
      <c r="Q51" s="130" t="e">
        <f t="shared" si="1"/>
        <v>#REF!</v>
      </c>
      <c r="R51" s="131"/>
      <c r="S51" s="130" t="e">
        <f>SUM(#REF!)</f>
        <v>#REF!</v>
      </c>
      <c r="T51" s="130" t="e">
        <f t="shared" si="2"/>
        <v>#REF!</v>
      </c>
      <c r="U51" s="131"/>
      <c r="V51" s="130" t="e">
        <f>SUM(#REF!)</f>
        <v>#REF!</v>
      </c>
      <c r="W51" s="130" t="e">
        <f t="shared" si="3"/>
        <v>#REF!</v>
      </c>
      <c r="X51" s="131"/>
      <c r="Y51" s="138" t="e">
        <f>SUM(#REF!)</f>
        <v>#REF!</v>
      </c>
      <c r="Z51" s="133" t="e">
        <f t="shared" si="4"/>
        <v>#REF!</v>
      </c>
      <c r="AA51" s="133"/>
      <c r="AB51" s="134"/>
    </row>
    <row r="52" spans="1:28" ht="14.25" customHeight="1" collapsed="1" x14ac:dyDescent="0.25">
      <c r="B52" s="1" t="s">
        <v>156</v>
      </c>
      <c r="C52" s="69" t="s">
        <v>157</v>
      </c>
      <c r="D52" s="70" t="s">
        <v>158</v>
      </c>
      <c r="E52" s="89">
        <f t="shared" ref="E52:L52" si="15">SUM(E53:E55)</f>
        <v>1413835</v>
      </c>
      <c r="F52" s="139">
        <f t="shared" si="15"/>
        <v>1571724</v>
      </c>
      <c r="G52" s="150">
        <f>SUM(G53:G55)</f>
        <v>1730365</v>
      </c>
      <c r="H52" s="139">
        <f t="shared" si="15"/>
        <v>40433</v>
      </c>
      <c r="I52" s="90">
        <f t="shared" si="15"/>
        <v>1752028.5</v>
      </c>
      <c r="J52" s="90">
        <f t="shared" si="15"/>
        <v>0</v>
      </c>
      <c r="K52" s="90"/>
      <c r="L52" s="139">
        <f t="shared" si="15"/>
        <v>0</v>
      </c>
      <c r="M52" s="149">
        <f>M53+M54+M55</f>
        <v>1752028.5</v>
      </c>
      <c r="N52" s="92">
        <f t="shared" si="0"/>
        <v>21663.5</v>
      </c>
      <c r="O52" s="151">
        <f t="shared" si="14"/>
        <v>1.2519612914038367E-2</v>
      </c>
      <c r="P52" s="149">
        <f>SUM(P53:P55)</f>
        <v>1752028.5</v>
      </c>
      <c r="Q52" s="149">
        <f t="shared" si="1"/>
        <v>0</v>
      </c>
      <c r="R52" s="151"/>
      <c r="S52" s="149">
        <f>SUM(S53:S55)</f>
        <v>1752028.5</v>
      </c>
      <c r="T52" s="149">
        <f t="shared" si="2"/>
        <v>0</v>
      </c>
      <c r="U52" s="151"/>
      <c r="V52" s="149">
        <f>SUM(V53:V55)</f>
        <v>1752028.5</v>
      </c>
      <c r="W52" s="149">
        <f t="shared" si="3"/>
        <v>0</v>
      </c>
      <c r="X52" s="151"/>
      <c r="Y52" s="138">
        <f>Y53+Y54+Y55</f>
        <v>438006</v>
      </c>
      <c r="Z52" s="95">
        <f t="shared" si="4"/>
        <v>0.24999935788715766</v>
      </c>
      <c r="AA52" s="95"/>
    </row>
    <row r="53" spans="1:28" s="161" customFormat="1" x14ac:dyDescent="0.25">
      <c r="A53" s="1" t="s">
        <v>135</v>
      </c>
      <c r="B53" s="106" t="s">
        <v>159</v>
      </c>
      <c r="C53" s="107" t="s">
        <v>160</v>
      </c>
      <c r="D53" s="108" t="s">
        <v>161</v>
      </c>
      <c r="E53" s="152">
        <f>188972</f>
        <v>188972</v>
      </c>
      <c r="F53" s="153">
        <f>134203+60317</f>
        <v>194520</v>
      </c>
      <c r="G53" s="154">
        <v>184856</v>
      </c>
      <c r="H53" s="155"/>
      <c r="I53" s="155">
        <f>132704/8*12</f>
        <v>199056</v>
      </c>
      <c r="J53" s="155"/>
      <c r="K53" s="155"/>
      <c r="L53" s="155"/>
      <c r="M53" s="156">
        <f t="shared" ref="M53:M64" si="16">I53+J53+K53+L53</f>
        <v>199056</v>
      </c>
      <c r="N53" s="156">
        <f t="shared" si="0"/>
        <v>14200</v>
      </c>
      <c r="O53" s="157"/>
      <c r="P53" s="156">
        <v>199056</v>
      </c>
      <c r="Q53" s="156">
        <f t="shared" si="1"/>
        <v>0</v>
      </c>
      <c r="R53" s="157"/>
      <c r="S53" s="156">
        <v>199056</v>
      </c>
      <c r="T53" s="156">
        <f t="shared" si="2"/>
        <v>0</v>
      </c>
      <c r="U53" s="157"/>
      <c r="V53" s="156">
        <v>199056</v>
      </c>
      <c r="W53" s="156">
        <f t="shared" si="3"/>
        <v>0</v>
      </c>
      <c r="X53" s="157"/>
      <c r="Y53" s="158">
        <v>49764</v>
      </c>
      <c r="Z53" s="159">
        <f t="shared" si="4"/>
        <v>0.25</v>
      </c>
      <c r="AA53" s="159"/>
      <c r="AB53" s="160"/>
    </row>
    <row r="54" spans="1:28" s="161" customFormat="1" x14ac:dyDescent="0.25">
      <c r="A54" s="1" t="s">
        <v>135</v>
      </c>
      <c r="B54" s="106" t="s">
        <v>162</v>
      </c>
      <c r="C54" s="107" t="s">
        <v>163</v>
      </c>
      <c r="D54" s="108" t="s">
        <v>164</v>
      </c>
      <c r="E54" s="152">
        <f>757712+99947*3+1+(99951)</f>
        <v>1157505</v>
      </c>
      <c r="F54" s="155">
        <f>(108654*8+108654*4)</f>
        <v>1303848</v>
      </c>
      <c r="G54" s="154">
        <v>1457852</v>
      </c>
      <c r="H54" s="155">
        <v>40433</v>
      </c>
      <c r="I54" s="155">
        <f>961184/8*12</f>
        <v>1441776</v>
      </c>
      <c r="J54" s="155"/>
      <c r="K54" s="155"/>
      <c r="L54" s="155"/>
      <c r="M54" s="156">
        <f t="shared" si="16"/>
        <v>1441776</v>
      </c>
      <c r="N54" s="156">
        <f t="shared" si="0"/>
        <v>-16076</v>
      </c>
      <c r="O54" s="157"/>
      <c r="P54" s="156">
        <v>1441776</v>
      </c>
      <c r="Q54" s="156">
        <f t="shared" si="1"/>
        <v>0</v>
      </c>
      <c r="R54" s="157"/>
      <c r="S54" s="156">
        <v>1441776</v>
      </c>
      <c r="T54" s="156">
        <f t="shared" si="2"/>
        <v>0</v>
      </c>
      <c r="U54" s="157"/>
      <c r="V54" s="156">
        <v>1441776</v>
      </c>
      <c r="W54" s="156">
        <f t="shared" si="3"/>
        <v>0</v>
      </c>
      <c r="X54" s="157"/>
      <c r="Y54" s="158">
        <v>388242</v>
      </c>
      <c r="Z54" s="159">
        <f t="shared" si="4"/>
        <v>0.26928038752205613</v>
      </c>
      <c r="AA54" s="159"/>
      <c r="AB54" s="160"/>
    </row>
    <row r="55" spans="1:28" s="161" customFormat="1" x14ac:dyDescent="0.25">
      <c r="A55" s="1" t="s">
        <v>135</v>
      </c>
      <c r="B55" s="1"/>
      <c r="C55" s="107" t="s">
        <v>165</v>
      </c>
      <c r="D55" s="108" t="s">
        <v>166</v>
      </c>
      <c r="E55" s="162">
        <f>44633+5681*3+5682</f>
        <v>67358</v>
      </c>
      <c r="F55" s="163">
        <f>(6113*8+6113*4)</f>
        <v>73356</v>
      </c>
      <c r="G55" s="164">
        <v>87657</v>
      </c>
      <c r="H55" s="163"/>
      <c r="I55" s="163">
        <f>74131/8*12</f>
        <v>111196.5</v>
      </c>
      <c r="J55" s="163"/>
      <c r="K55" s="163"/>
      <c r="L55" s="163"/>
      <c r="M55" s="165">
        <f t="shared" si="16"/>
        <v>111196.5</v>
      </c>
      <c r="N55" s="165">
        <f t="shared" si="0"/>
        <v>23539.5</v>
      </c>
      <c r="O55" s="166"/>
      <c r="P55" s="165">
        <v>111196.5</v>
      </c>
      <c r="Q55" s="165">
        <f t="shared" si="1"/>
        <v>0</v>
      </c>
      <c r="R55" s="166"/>
      <c r="S55" s="165">
        <v>111196.5</v>
      </c>
      <c r="T55" s="165">
        <f t="shared" si="2"/>
        <v>0</v>
      </c>
      <c r="U55" s="166"/>
      <c r="V55" s="165">
        <v>111196.5</v>
      </c>
      <c r="W55" s="165">
        <f t="shared" si="3"/>
        <v>0</v>
      </c>
      <c r="X55" s="166"/>
      <c r="Y55" s="167"/>
      <c r="Z55" s="168">
        <f t="shared" si="4"/>
        <v>0</v>
      </c>
      <c r="AA55" s="168"/>
      <c r="AB55" s="160"/>
    </row>
    <row r="56" spans="1:28" s="123" customFormat="1" hidden="1" outlineLevel="1" x14ac:dyDescent="0.25">
      <c r="A56" s="123" t="s">
        <v>135</v>
      </c>
      <c r="B56" s="123" t="s">
        <v>156</v>
      </c>
      <c r="C56" s="124" t="s">
        <v>167</v>
      </c>
      <c r="D56" s="125" t="s">
        <v>168</v>
      </c>
      <c r="E56" s="126"/>
      <c r="F56" s="129"/>
      <c r="G56" s="128"/>
      <c r="H56" s="129"/>
      <c r="I56" s="129"/>
      <c r="J56" s="129"/>
      <c r="K56" s="129"/>
      <c r="L56" s="129"/>
      <c r="M56" s="130">
        <f t="shared" si="16"/>
        <v>0</v>
      </c>
      <c r="N56" s="130">
        <f t="shared" si="0"/>
        <v>0</v>
      </c>
      <c r="O56" s="131"/>
      <c r="P56" s="130"/>
      <c r="Q56" s="130">
        <f t="shared" si="1"/>
        <v>0</v>
      </c>
      <c r="R56" s="131"/>
      <c r="S56" s="130"/>
      <c r="T56" s="130">
        <f t="shared" si="2"/>
        <v>0</v>
      </c>
      <c r="U56" s="131"/>
      <c r="V56" s="130"/>
      <c r="W56" s="130">
        <f t="shared" si="3"/>
        <v>0</v>
      </c>
      <c r="X56" s="131"/>
      <c r="Y56" s="132"/>
      <c r="Z56" s="133" t="e">
        <f t="shared" si="4"/>
        <v>#DIV/0!</v>
      </c>
      <c r="AA56" s="133"/>
      <c r="AB56" s="134"/>
    </row>
    <row r="57" spans="1:28" collapsed="1" x14ac:dyDescent="0.25">
      <c r="A57" s="1" t="s">
        <v>135</v>
      </c>
      <c r="C57" s="69" t="s">
        <v>167</v>
      </c>
      <c r="D57" s="70" t="s">
        <v>169</v>
      </c>
      <c r="E57" s="89">
        <f>SUM(E58:E59)</f>
        <v>4327.66</v>
      </c>
      <c r="F57" s="90">
        <f>SUM(F58:F59)</f>
        <v>0</v>
      </c>
      <c r="G57" s="91">
        <v>0</v>
      </c>
      <c r="H57" s="90"/>
      <c r="I57" s="90"/>
      <c r="J57" s="90">
        <f>SUM(J58:J59)</f>
        <v>0</v>
      </c>
      <c r="K57" s="90"/>
      <c r="L57" s="90">
        <f>SUM(L58:L59)</f>
        <v>0</v>
      </c>
      <c r="M57" s="92">
        <f t="shared" si="16"/>
        <v>0</v>
      </c>
      <c r="N57" s="92">
        <f t="shared" si="0"/>
        <v>0</v>
      </c>
      <c r="O57" s="93"/>
      <c r="P57" s="92">
        <v>0</v>
      </c>
      <c r="Q57" s="92">
        <f t="shared" si="1"/>
        <v>0</v>
      </c>
      <c r="R57" s="93"/>
      <c r="S57" s="92">
        <v>0</v>
      </c>
      <c r="T57" s="92">
        <f t="shared" si="2"/>
        <v>0</v>
      </c>
      <c r="U57" s="93"/>
      <c r="V57" s="92">
        <v>0</v>
      </c>
      <c r="W57" s="92">
        <f t="shared" si="3"/>
        <v>0</v>
      </c>
      <c r="X57" s="93"/>
      <c r="Y57" s="94"/>
      <c r="Z57" s="95"/>
      <c r="AA57" s="95"/>
    </row>
    <row r="58" spans="1:28" s="169" customFormat="1" ht="30" hidden="1" customHeight="1" outlineLevel="1" x14ac:dyDescent="0.25">
      <c r="B58" s="169" t="s">
        <v>170</v>
      </c>
      <c r="C58" s="170" t="s">
        <v>171</v>
      </c>
      <c r="D58" s="171" t="s">
        <v>172</v>
      </c>
      <c r="E58" s="172"/>
      <c r="F58" s="173"/>
      <c r="G58" s="174" t="e">
        <f>F58+#REF!+#REF!</f>
        <v>#REF!</v>
      </c>
      <c r="H58" s="173">
        <v>8721</v>
      </c>
      <c r="I58" s="173"/>
      <c r="J58" s="173"/>
      <c r="K58" s="173"/>
      <c r="L58" s="173"/>
      <c r="M58" s="175">
        <f t="shared" si="16"/>
        <v>0</v>
      </c>
      <c r="N58" s="175" t="e">
        <f t="shared" si="0"/>
        <v>#REF!</v>
      </c>
      <c r="O58" s="176"/>
      <c r="P58" s="175" t="e">
        <f>O58+#REF!+#REF!</f>
        <v>#REF!</v>
      </c>
      <c r="Q58" s="175" t="e">
        <f t="shared" si="1"/>
        <v>#REF!</v>
      </c>
      <c r="R58" s="176"/>
      <c r="S58" s="175" t="e">
        <f>R58+#REF!+#REF!</f>
        <v>#REF!</v>
      </c>
      <c r="T58" s="175" t="e">
        <f t="shared" si="2"/>
        <v>#REF!</v>
      </c>
      <c r="U58" s="176"/>
      <c r="V58" s="175" t="e">
        <f>U58+#REF!+#REF!</f>
        <v>#REF!</v>
      </c>
      <c r="W58" s="175" t="e">
        <f t="shared" si="3"/>
        <v>#REF!</v>
      </c>
      <c r="X58" s="176"/>
      <c r="Y58" s="177"/>
      <c r="Z58" s="178"/>
      <c r="AA58" s="178"/>
      <c r="AB58" s="179"/>
    </row>
    <row r="59" spans="1:28" ht="37.5" hidden="1" customHeight="1" outlineLevel="1" x14ac:dyDescent="0.25">
      <c r="B59" s="1" t="s">
        <v>173</v>
      </c>
      <c r="C59" s="107" t="s">
        <v>174</v>
      </c>
      <c r="D59" s="108" t="s">
        <v>175</v>
      </c>
      <c r="E59" s="89">
        <v>4327.66</v>
      </c>
      <c r="F59" s="173">
        <v>0</v>
      </c>
      <c r="G59" s="174" t="e">
        <f>F59+#REF!+#REF!</f>
        <v>#REF!</v>
      </c>
      <c r="H59" s="90"/>
      <c r="I59" s="90"/>
      <c r="J59" s="90"/>
      <c r="K59" s="90"/>
      <c r="L59" s="173">
        <v>0</v>
      </c>
      <c r="M59" s="175">
        <f t="shared" si="16"/>
        <v>0</v>
      </c>
      <c r="N59" s="92" t="e">
        <f t="shared" si="0"/>
        <v>#REF!</v>
      </c>
      <c r="O59" s="93"/>
      <c r="P59" s="175" t="e">
        <f>O59+#REF!+#REF!</f>
        <v>#REF!</v>
      </c>
      <c r="Q59" s="92" t="e">
        <f t="shared" si="1"/>
        <v>#REF!</v>
      </c>
      <c r="R59" s="93"/>
      <c r="S59" s="175" t="e">
        <f>R59+#REF!+#REF!</f>
        <v>#REF!</v>
      </c>
      <c r="T59" s="92" t="e">
        <f t="shared" si="2"/>
        <v>#REF!</v>
      </c>
      <c r="U59" s="93"/>
      <c r="V59" s="175" t="e">
        <f>U59+#REF!+#REF!</f>
        <v>#REF!</v>
      </c>
      <c r="W59" s="92" t="e">
        <f t="shared" si="3"/>
        <v>#REF!</v>
      </c>
      <c r="X59" s="93"/>
      <c r="Y59" s="94"/>
      <c r="Z59" s="95"/>
      <c r="AA59" s="95"/>
    </row>
    <row r="60" spans="1:28" ht="30" collapsed="1" x14ac:dyDescent="0.25">
      <c r="A60" s="1" t="s">
        <v>135</v>
      </c>
      <c r="B60" s="1" t="s">
        <v>173</v>
      </c>
      <c r="C60" s="69" t="s">
        <v>176</v>
      </c>
      <c r="D60" s="70" t="s">
        <v>177</v>
      </c>
      <c r="E60" s="89">
        <v>5186.3677497566887</v>
      </c>
      <c r="F60" s="71">
        <v>5491</v>
      </c>
      <c r="G60" s="73">
        <v>6479</v>
      </c>
      <c r="H60" s="90"/>
      <c r="I60" s="90"/>
      <c r="J60" s="90"/>
      <c r="K60" s="90"/>
      <c r="L60" s="72"/>
      <c r="M60" s="74">
        <f t="shared" si="16"/>
        <v>0</v>
      </c>
      <c r="N60" s="92">
        <f t="shared" si="0"/>
        <v>-6479</v>
      </c>
      <c r="O60" s="93"/>
      <c r="P60" s="74">
        <v>0</v>
      </c>
      <c r="Q60" s="92">
        <f t="shared" si="1"/>
        <v>0</v>
      </c>
      <c r="R60" s="93"/>
      <c r="S60" s="74">
        <v>0</v>
      </c>
      <c r="T60" s="92">
        <f t="shared" si="2"/>
        <v>0</v>
      </c>
      <c r="U60" s="93"/>
      <c r="V60" s="74">
        <v>0</v>
      </c>
      <c r="W60" s="92">
        <f t="shared" si="3"/>
        <v>0</v>
      </c>
      <c r="X60" s="93"/>
      <c r="Y60" s="138"/>
      <c r="Z60" s="95"/>
      <c r="AA60" s="95"/>
    </row>
    <row r="61" spans="1:28" hidden="1" outlineLevel="1" x14ac:dyDescent="0.25">
      <c r="A61" s="180" t="s">
        <v>178</v>
      </c>
      <c r="B61" s="106" t="s">
        <v>179</v>
      </c>
      <c r="C61" s="69" t="s">
        <v>180</v>
      </c>
      <c r="D61" s="70" t="s">
        <v>181</v>
      </c>
      <c r="E61" s="89">
        <v>0</v>
      </c>
      <c r="F61" s="72">
        <v>0</v>
      </c>
      <c r="G61" s="73">
        <v>0</v>
      </c>
      <c r="H61" s="90"/>
      <c r="I61" s="90"/>
      <c r="J61" s="90"/>
      <c r="K61" s="90"/>
      <c r="L61" s="72">
        <v>0</v>
      </c>
      <c r="M61" s="74">
        <f t="shared" si="16"/>
        <v>0</v>
      </c>
      <c r="N61" s="92">
        <f t="shared" si="0"/>
        <v>0</v>
      </c>
      <c r="O61" s="93"/>
      <c r="P61" s="74">
        <v>0</v>
      </c>
      <c r="Q61" s="92">
        <f t="shared" si="1"/>
        <v>0</v>
      </c>
      <c r="R61" s="93"/>
      <c r="S61" s="74">
        <v>0</v>
      </c>
      <c r="T61" s="92">
        <f t="shared" si="2"/>
        <v>0</v>
      </c>
      <c r="U61" s="93"/>
      <c r="V61" s="74">
        <v>0</v>
      </c>
      <c r="W61" s="92">
        <f t="shared" si="3"/>
        <v>0</v>
      </c>
      <c r="X61" s="93"/>
      <c r="Y61" s="138"/>
      <c r="Z61" s="95" t="e">
        <f t="shared" si="4"/>
        <v>#DIV/0!</v>
      </c>
      <c r="AA61" s="95"/>
    </row>
    <row r="62" spans="1:28" ht="44.25" hidden="1" outlineLevel="1" x14ac:dyDescent="0.25">
      <c r="A62" s="1" t="s">
        <v>135</v>
      </c>
      <c r="B62" s="106" t="s">
        <v>182</v>
      </c>
      <c r="C62" s="69" t="s">
        <v>183</v>
      </c>
      <c r="D62" s="181" t="s">
        <v>184</v>
      </c>
      <c r="E62" s="71">
        <v>15906.995406969796</v>
      </c>
      <c r="F62" s="72">
        <v>0</v>
      </c>
      <c r="G62" s="73">
        <v>0</v>
      </c>
      <c r="H62" s="72"/>
      <c r="I62" s="72"/>
      <c r="J62" s="72"/>
      <c r="K62" s="72"/>
      <c r="L62" s="72">
        <v>0</v>
      </c>
      <c r="M62" s="74">
        <f t="shared" si="16"/>
        <v>0</v>
      </c>
      <c r="N62" s="74">
        <f t="shared" si="0"/>
        <v>0</v>
      </c>
      <c r="O62" s="75"/>
      <c r="P62" s="74">
        <v>0</v>
      </c>
      <c r="Q62" s="74">
        <f t="shared" si="1"/>
        <v>0</v>
      </c>
      <c r="R62" s="75"/>
      <c r="S62" s="74">
        <v>0</v>
      </c>
      <c r="T62" s="74">
        <f t="shared" si="2"/>
        <v>0</v>
      </c>
      <c r="U62" s="75"/>
      <c r="V62" s="74">
        <v>0</v>
      </c>
      <c r="W62" s="74">
        <f t="shared" si="3"/>
        <v>0</v>
      </c>
      <c r="X62" s="75"/>
      <c r="Y62" s="138"/>
      <c r="Z62" s="77" t="e">
        <f t="shared" si="4"/>
        <v>#DIV/0!</v>
      </c>
      <c r="AA62" s="77"/>
    </row>
    <row r="63" spans="1:28" ht="31.5" customHeight="1" collapsed="1" x14ac:dyDescent="0.25">
      <c r="B63" s="11" t="s">
        <v>185</v>
      </c>
      <c r="C63" s="69" t="s">
        <v>180</v>
      </c>
      <c r="D63" s="70" t="s">
        <v>186</v>
      </c>
      <c r="E63" s="71">
        <f>49834+11876</f>
        <v>61710</v>
      </c>
      <c r="F63" s="72">
        <v>73946</v>
      </c>
      <c r="G63" s="73">
        <v>72202</v>
      </c>
      <c r="H63" s="72"/>
      <c r="I63" s="72">
        <v>72202</v>
      </c>
      <c r="J63" s="72"/>
      <c r="K63" s="72"/>
      <c r="L63" s="72"/>
      <c r="M63" s="74">
        <f t="shared" si="16"/>
        <v>72202</v>
      </c>
      <c r="N63" s="74">
        <f t="shared" si="0"/>
        <v>0</v>
      </c>
      <c r="O63" s="75"/>
      <c r="P63" s="74">
        <v>72202</v>
      </c>
      <c r="Q63" s="74">
        <f t="shared" si="1"/>
        <v>0</v>
      </c>
      <c r="R63" s="75"/>
      <c r="S63" s="74">
        <v>72202</v>
      </c>
      <c r="T63" s="74">
        <f t="shared" si="2"/>
        <v>0</v>
      </c>
      <c r="U63" s="75"/>
      <c r="V63" s="74">
        <v>72202</v>
      </c>
      <c r="W63" s="74">
        <f t="shared" si="3"/>
        <v>0</v>
      </c>
      <c r="X63" s="75"/>
      <c r="Y63" s="138">
        <v>18429</v>
      </c>
      <c r="Z63" s="77">
        <f t="shared" si="4"/>
        <v>0.25524223705714522</v>
      </c>
      <c r="AA63" s="77"/>
    </row>
    <row r="64" spans="1:28" s="11" customFormat="1" ht="33" customHeight="1" x14ac:dyDescent="0.25">
      <c r="A64" s="11" t="s">
        <v>135</v>
      </c>
      <c r="B64" s="11" t="s">
        <v>173</v>
      </c>
      <c r="C64" s="121" t="s">
        <v>183</v>
      </c>
      <c r="D64" s="122" t="s">
        <v>187</v>
      </c>
      <c r="E64" s="71"/>
      <c r="F64" s="72">
        <f>275+(11972+1203)+128+996+700+9488</f>
        <v>24762</v>
      </c>
      <c r="G64" s="73">
        <v>690224</v>
      </c>
      <c r="H64" s="72"/>
      <c r="I64" s="72"/>
      <c r="J64" s="72"/>
      <c r="K64" s="72"/>
      <c r="L64" s="72"/>
      <c r="M64" s="74">
        <f t="shared" si="16"/>
        <v>0</v>
      </c>
      <c r="N64" s="74">
        <f t="shared" si="0"/>
        <v>-690224</v>
      </c>
      <c r="O64" s="182"/>
      <c r="P64" s="74">
        <f>9660</f>
        <v>9660</v>
      </c>
      <c r="Q64" s="74">
        <f t="shared" si="1"/>
        <v>9660</v>
      </c>
      <c r="R64" s="97" t="s">
        <v>188</v>
      </c>
      <c r="S64" s="74">
        <f>9660</f>
        <v>9660</v>
      </c>
      <c r="T64" s="74">
        <f t="shared" si="2"/>
        <v>0</v>
      </c>
      <c r="U64" s="97"/>
      <c r="V64" s="74">
        <f>9660+7446</f>
        <v>17106</v>
      </c>
      <c r="W64" s="74">
        <f t="shared" si="3"/>
        <v>7446</v>
      </c>
      <c r="X64" s="183" t="s">
        <v>189</v>
      </c>
      <c r="Y64" s="138">
        <v>12383</v>
      </c>
      <c r="Z64" s="77">
        <f t="shared" si="4"/>
        <v>0.72389804746872444</v>
      </c>
      <c r="AA64" s="77"/>
      <c r="AB64" s="12"/>
    </row>
    <row r="65" spans="1:28" s="123" customFormat="1" ht="30" hidden="1" outlineLevel="1" collapsed="1" x14ac:dyDescent="0.25">
      <c r="C65" s="124" t="s">
        <v>190</v>
      </c>
      <c r="D65" s="125" t="s">
        <v>191</v>
      </c>
      <c r="E65" s="126"/>
      <c r="F65" s="129"/>
      <c r="G65" s="128"/>
      <c r="H65" s="129"/>
      <c r="I65" s="129"/>
      <c r="J65" s="129"/>
      <c r="K65" s="129"/>
      <c r="L65" s="129"/>
      <c r="M65" s="130"/>
      <c r="N65" s="130">
        <f t="shared" si="0"/>
        <v>0</v>
      </c>
      <c r="O65" s="131"/>
      <c r="P65" s="130"/>
      <c r="Q65" s="130">
        <f t="shared" si="1"/>
        <v>0</v>
      </c>
      <c r="R65" s="131"/>
      <c r="S65" s="130"/>
      <c r="T65" s="130">
        <f t="shared" si="2"/>
        <v>0</v>
      </c>
      <c r="U65" s="131"/>
      <c r="V65" s="130"/>
      <c r="W65" s="130">
        <f t="shared" si="3"/>
        <v>0</v>
      </c>
      <c r="X65" s="131"/>
      <c r="Y65" s="132"/>
      <c r="Z65" s="133" t="e">
        <f t="shared" si="4"/>
        <v>#DIV/0!</v>
      </c>
      <c r="AA65" s="133"/>
      <c r="AB65" s="134"/>
    </row>
    <row r="66" spans="1:28" collapsed="1" x14ac:dyDescent="0.25">
      <c r="C66" s="184" t="s">
        <v>192</v>
      </c>
      <c r="D66" s="185" t="s">
        <v>193</v>
      </c>
      <c r="E66" s="186">
        <f>SUM(E67:E76)</f>
        <v>511110.93562358787</v>
      </c>
      <c r="F66" s="187">
        <f>SUM(F67:F76)</f>
        <v>324623.14</v>
      </c>
      <c r="G66" s="188">
        <f>SUM(G67:G76)</f>
        <v>53712</v>
      </c>
      <c r="H66" s="187">
        <f>SUM(H67:H76)</f>
        <v>53724.37</v>
      </c>
      <c r="I66" s="187">
        <f>SUM(I67:I76)</f>
        <v>2000</v>
      </c>
      <c r="J66" s="187">
        <f>J67+J68+J69+J70+J71+J72+J73+J74+J75+J76</f>
        <v>1967290.13</v>
      </c>
      <c r="K66" s="187"/>
      <c r="L66" s="187">
        <f>SUM(L67:L76)</f>
        <v>0</v>
      </c>
      <c r="M66" s="189">
        <f>M67+M68+M69+M70+M71+M72+M73+M74+M75+M76</f>
        <v>1969290.13</v>
      </c>
      <c r="N66" s="189">
        <f t="shared" si="0"/>
        <v>1915578.13</v>
      </c>
      <c r="O66" s="190">
        <f>N66/G66</f>
        <v>35.663876414953826</v>
      </c>
      <c r="P66" s="189">
        <f>SUM(P67:P76)</f>
        <v>2013730.6099999999</v>
      </c>
      <c r="Q66" s="189">
        <f t="shared" si="1"/>
        <v>44440.479999999981</v>
      </c>
      <c r="R66" s="190"/>
      <c r="S66" s="189">
        <f>SUM(S67:S76)</f>
        <v>2013730.6099999999</v>
      </c>
      <c r="T66" s="189">
        <f t="shared" si="2"/>
        <v>0</v>
      </c>
      <c r="U66" s="190"/>
      <c r="V66" s="189">
        <f>SUM(V67:V76)</f>
        <v>1969290.13</v>
      </c>
      <c r="W66" s="189">
        <f t="shared" si="3"/>
        <v>-44440.479999999981</v>
      </c>
      <c r="X66" s="190"/>
      <c r="Y66" s="191">
        <f>SUM(Y67:Y76)</f>
        <v>1379</v>
      </c>
      <c r="Z66" s="192">
        <f t="shared" si="4"/>
        <v>7.0025232899532182E-4</v>
      </c>
      <c r="AA66" s="193" t="s">
        <v>194</v>
      </c>
    </row>
    <row r="67" spans="1:28" s="11" customFormat="1" ht="16.5" customHeight="1" x14ac:dyDescent="0.25">
      <c r="A67" s="11" t="s">
        <v>195</v>
      </c>
      <c r="B67" s="11" t="s">
        <v>196</v>
      </c>
      <c r="C67" s="194" t="s">
        <v>197</v>
      </c>
      <c r="D67" s="70" t="s">
        <v>198</v>
      </c>
      <c r="E67" s="71"/>
      <c r="F67" s="72">
        <f>4314.57*2</f>
        <v>8629.14</v>
      </c>
      <c r="G67" s="73">
        <v>1295</v>
      </c>
      <c r="H67" s="72"/>
      <c r="I67" s="72"/>
      <c r="J67" s="72"/>
      <c r="K67" s="72"/>
      <c r="L67" s="72"/>
      <c r="M67" s="74">
        <f t="shared" ref="M67:M76" si="17">I67+J67+K67+L67</f>
        <v>0</v>
      </c>
      <c r="N67" s="74">
        <f t="shared" si="0"/>
        <v>-1295</v>
      </c>
      <c r="O67" s="182"/>
      <c r="P67" s="74">
        <v>0</v>
      </c>
      <c r="Q67" s="74">
        <f t="shared" si="1"/>
        <v>0</v>
      </c>
      <c r="R67" s="182"/>
      <c r="S67" s="74">
        <v>0</v>
      </c>
      <c r="T67" s="74">
        <f t="shared" si="2"/>
        <v>0</v>
      </c>
      <c r="U67" s="182"/>
      <c r="V67" s="74">
        <v>0</v>
      </c>
      <c r="W67" s="74">
        <f t="shared" si="3"/>
        <v>0</v>
      </c>
      <c r="X67" s="182"/>
      <c r="Y67" s="76">
        <v>0</v>
      </c>
      <c r="Z67" s="77"/>
      <c r="AA67" s="77"/>
      <c r="AB67" s="12"/>
    </row>
    <row r="68" spans="1:28" ht="30" x14ac:dyDescent="0.25">
      <c r="A68" s="1" t="s">
        <v>135</v>
      </c>
      <c r="B68" s="106" t="s">
        <v>182</v>
      </c>
      <c r="C68" s="194" t="s">
        <v>199</v>
      </c>
      <c r="D68" s="70" t="s">
        <v>200</v>
      </c>
      <c r="E68" s="71">
        <v>15906.995406969796</v>
      </c>
      <c r="F68" s="72">
        <v>4026</v>
      </c>
      <c r="G68" s="73">
        <v>5137</v>
      </c>
      <c r="H68" s="72">
        <v>2746</v>
      </c>
      <c r="I68" s="72">
        <v>2000</v>
      </c>
      <c r="J68" s="72"/>
      <c r="K68" s="72"/>
      <c r="L68" s="72"/>
      <c r="M68" s="74">
        <f t="shared" si="17"/>
        <v>2000</v>
      </c>
      <c r="N68" s="74">
        <f t="shared" si="0"/>
        <v>-3137</v>
      </c>
      <c r="O68" s="75"/>
      <c r="P68" s="74">
        <v>2000</v>
      </c>
      <c r="Q68" s="74">
        <f t="shared" si="1"/>
        <v>0</v>
      </c>
      <c r="R68" s="75"/>
      <c r="S68" s="74">
        <v>2000</v>
      </c>
      <c r="T68" s="74">
        <f t="shared" si="2"/>
        <v>0</v>
      </c>
      <c r="U68" s="75"/>
      <c r="V68" s="74">
        <v>2000</v>
      </c>
      <c r="W68" s="74">
        <f t="shared" si="3"/>
        <v>0</v>
      </c>
      <c r="X68" s="75"/>
      <c r="Y68" s="76">
        <v>1379</v>
      </c>
      <c r="Z68" s="77">
        <f t="shared" si="4"/>
        <v>0.6895</v>
      </c>
      <c r="AA68" s="77"/>
    </row>
    <row r="69" spans="1:28" x14ac:dyDescent="0.25">
      <c r="A69" s="1" t="s">
        <v>195</v>
      </c>
      <c r="B69" s="1" t="s">
        <v>201</v>
      </c>
      <c r="C69" s="195" t="s">
        <v>202</v>
      </c>
      <c r="D69" s="196" t="s">
        <v>203</v>
      </c>
      <c r="E69" s="197">
        <v>9813.9879681959701</v>
      </c>
      <c r="F69" s="198">
        <v>29553</v>
      </c>
      <c r="G69" s="199">
        <v>0</v>
      </c>
      <c r="H69" s="198"/>
      <c r="I69" s="198"/>
      <c r="J69" s="200">
        <f>16400*0.8</f>
        <v>13120</v>
      </c>
      <c r="K69" s="198"/>
      <c r="L69" s="198"/>
      <c r="M69" s="74">
        <f t="shared" si="17"/>
        <v>13120</v>
      </c>
      <c r="N69" s="201">
        <f t="shared" si="0"/>
        <v>13120</v>
      </c>
      <c r="O69" s="102"/>
      <c r="P69" s="201">
        <v>13120</v>
      </c>
      <c r="Q69" s="201">
        <f t="shared" si="1"/>
        <v>0</v>
      </c>
      <c r="R69" s="102"/>
      <c r="S69" s="201">
        <v>13120</v>
      </c>
      <c r="T69" s="201">
        <f t="shared" si="2"/>
        <v>0</v>
      </c>
      <c r="U69" s="102"/>
      <c r="V69" s="201">
        <v>13120</v>
      </c>
      <c r="W69" s="201">
        <f t="shared" si="3"/>
        <v>0</v>
      </c>
      <c r="X69" s="102"/>
      <c r="Y69" s="103"/>
      <c r="Z69" s="104">
        <f t="shared" si="4"/>
        <v>0</v>
      </c>
      <c r="AA69" s="104"/>
    </row>
    <row r="70" spans="1:28" x14ac:dyDescent="0.25">
      <c r="A70" s="1" t="s">
        <v>195</v>
      </c>
      <c r="B70" s="1" t="s">
        <v>204</v>
      </c>
      <c r="C70" s="195" t="s">
        <v>205</v>
      </c>
      <c r="D70" s="202" t="s">
        <v>206</v>
      </c>
      <c r="E70" s="98">
        <v>451441.65371853323</v>
      </c>
      <c r="F70" s="203">
        <v>97000</v>
      </c>
      <c r="G70" s="100">
        <v>0</v>
      </c>
      <c r="H70" s="99"/>
      <c r="I70" s="99"/>
      <c r="J70" s="99"/>
      <c r="K70" s="99"/>
      <c r="L70" s="99"/>
      <c r="M70" s="74">
        <f t="shared" si="17"/>
        <v>0</v>
      </c>
      <c r="N70" s="101">
        <f t="shared" si="0"/>
        <v>0</v>
      </c>
      <c r="O70" s="102"/>
      <c r="P70" s="101">
        <v>0</v>
      </c>
      <c r="Q70" s="101">
        <f t="shared" si="1"/>
        <v>0</v>
      </c>
      <c r="R70" s="102"/>
      <c r="S70" s="101">
        <v>0</v>
      </c>
      <c r="T70" s="101">
        <f t="shared" si="2"/>
        <v>0</v>
      </c>
      <c r="U70" s="102"/>
      <c r="V70" s="101">
        <v>0</v>
      </c>
      <c r="W70" s="101">
        <f t="shared" si="3"/>
        <v>0</v>
      </c>
      <c r="X70" s="102"/>
      <c r="Y70" s="103"/>
      <c r="Z70" s="104"/>
      <c r="AA70" s="104"/>
    </row>
    <row r="71" spans="1:28" ht="79.5" customHeight="1" x14ac:dyDescent="0.25">
      <c r="C71" s="195" t="s">
        <v>207</v>
      </c>
      <c r="D71" s="202" t="s">
        <v>208</v>
      </c>
      <c r="E71" s="204">
        <v>33948.298529888845</v>
      </c>
      <c r="F71" s="205">
        <v>121662</v>
      </c>
      <c r="G71" s="100">
        <v>0</v>
      </c>
      <c r="H71" s="205"/>
      <c r="I71" s="205"/>
      <c r="J71" s="206">
        <f>'[4]2016_2025_092016'!H160</f>
        <v>1700900</v>
      </c>
      <c r="K71" s="205"/>
      <c r="L71" s="99"/>
      <c r="M71" s="74">
        <f t="shared" si="17"/>
        <v>1700900</v>
      </c>
      <c r="N71" s="207">
        <f t="shared" ref="N71:N109" si="18">M71-G71</f>
        <v>1700900</v>
      </c>
      <c r="O71" s="208"/>
      <c r="P71" s="101">
        <v>1700900</v>
      </c>
      <c r="Q71" s="207">
        <f t="shared" ref="Q71:Q109" si="19">P71-M71</f>
        <v>0</v>
      </c>
      <c r="R71" s="208"/>
      <c r="S71" s="101">
        <v>1700900</v>
      </c>
      <c r="T71" s="207">
        <f t="shared" ref="T71:T109" si="20">S71-P71</f>
        <v>0</v>
      </c>
      <c r="U71" s="208"/>
      <c r="V71" s="101">
        <v>1700900</v>
      </c>
      <c r="W71" s="207">
        <f t="shared" ref="W71:W109" si="21">V71-S71</f>
        <v>0</v>
      </c>
      <c r="X71" s="208"/>
      <c r="Y71" s="103"/>
      <c r="Z71" s="104">
        <f t="shared" ref="Z71:Z109" si="22">Y71/V71</f>
        <v>0</v>
      </c>
      <c r="AA71" s="209" t="s">
        <v>209</v>
      </c>
    </row>
    <row r="72" spans="1:28" ht="30.75" customHeight="1" x14ac:dyDescent="0.25">
      <c r="C72" s="195" t="s">
        <v>210</v>
      </c>
      <c r="D72" s="202" t="s">
        <v>211</v>
      </c>
      <c r="E72" s="204"/>
      <c r="F72" s="205"/>
      <c r="G72" s="210"/>
      <c r="H72" s="205"/>
      <c r="I72" s="205"/>
      <c r="J72" s="206">
        <f>'[4]2016_2025_092016'!H199</f>
        <v>0</v>
      </c>
      <c r="K72" s="205"/>
      <c r="L72" s="205"/>
      <c r="M72" s="74">
        <f t="shared" si="17"/>
        <v>0</v>
      </c>
      <c r="N72" s="207"/>
      <c r="O72" s="208"/>
      <c r="P72" s="207">
        <v>44440.480000000003</v>
      </c>
      <c r="Q72" s="207">
        <f t="shared" si="19"/>
        <v>44440.480000000003</v>
      </c>
      <c r="R72" s="208"/>
      <c r="S72" s="207">
        <v>44440.480000000003</v>
      </c>
      <c r="T72" s="207">
        <f t="shared" si="20"/>
        <v>0</v>
      </c>
      <c r="U72" s="208"/>
      <c r="V72" s="207">
        <v>0</v>
      </c>
      <c r="W72" s="207">
        <f t="shared" si="21"/>
        <v>-44440.480000000003</v>
      </c>
      <c r="X72" s="102" t="s">
        <v>212</v>
      </c>
      <c r="Y72" s="103"/>
      <c r="Z72" s="104"/>
      <c r="AA72" s="104"/>
    </row>
    <row r="73" spans="1:28" ht="18.75" customHeight="1" x14ac:dyDescent="0.25">
      <c r="C73" s="195" t="s">
        <v>213</v>
      </c>
      <c r="D73" s="202" t="s">
        <v>214</v>
      </c>
      <c r="E73" s="204"/>
      <c r="F73" s="205"/>
      <c r="G73" s="210"/>
      <c r="H73" s="205"/>
      <c r="I73" s="205"/>
      <c r="J73" s="206">
        <f>'[4]2016_2025_092016'!H215</f>
        <v>0</v>
      </c>
      <c r="K73" s="205"/>
      <c r="L73" s="205"/>
      <c r="M73" s="74">
        <f t="shared" si="17"/>
        <v>0</v>
      </c>
      <c r="N73" s="207"/>
      <c r="O73" s="208"/>
      <c r="P73" s="207">
        <v>0</v>
      </c>
      <c r="Q73" s="207">
        <f t="shared" si="19"/>
        <v>0</v>
      </c>
      <c r="R73" s="208"/>
      <c r="S73" s="207">
        <v>0</v>
      </c>
      <c r="T73" s="207">
        <f t="shared" si="20"/>
        <v>0</v>
      </c>
      <c r="U73" s="208"/>
      <c r="V73" s="207">
        <v>0</v>
      </c>
      <c r="W73" s="207">
        <f t="shared" si="21"/>
        <v>0</v>
      </c>
      <c r="X73" s="208"/>
      <c r="Y73" s="103"/>
      <c r="Z73" s="104"/>
      <c r="AA73" s="104"/>
    </row>
    <row r="74" spans="1:28" ht="18.75" customHeight="1" x14ac:dyDescent="0.25">
      <c r="C74" s="195" t="s">
        <v>215</v>
      </c>
      <c r="D74" s="202" t="s">
        <v>216</v>
      </c>
      <c r="E74" s="204"/>
      <c r="F74" s="205"/>
      <c r="G74" s="210"/>
      <c r="H74" s="205"/>
      <c r="I74" s="205"/>
      <c r="J74" s="206">
        <f>'[4]2016_2025_092016'!H228</f>
        <v>210000</v>
      </c>
      <c r="K74" s="205"/>
      <c r="L74" s="205"/>
      <c r="M74" s="74">
        <f t="shared" si="17"/>
        <v>210000</v>
      </c>
      <c r="N74" s="207"/>
      <c r="O74" s="208"/>
      <c r="P74" s="207">
        <v>210000</v>
      </c>
      <c r="Q74" s="207">
        <f t="shared" si="19"/>
        <v>0</v>
      </c>
      <c r="R74" s="208"/>
      <c r="S74" s="207">
        <v>210000</v>
      </c>
      <c r="T74" s="207">
        <f t="shared" si="20"/>
        <v>0</v>
      </c>
      <c r="U74" s="208"/>
      <c r="V74" s="207">
        <v>210000</v>
      </c>
      <c r="W74" s="207">
        <f t="shared" si="21"/>
        <v>0</v>
      </c>
      <c r="X74" s="208"/>
      <c r="Y74" s="103"/>
      <c r="Z74" s="104">
        <f t="shared" si="22"/>
        <v>0</v>
      </c>
      <c r="AA74" s="104"/>
    </row>
    <row r="75" spans="1:28" ht="45" customHeight="1" x14ac:dyDescent="0.25">
      <c r="C75" s="195" t="s">
        <v>217</v>
      </c>
      <c r="D75" s="202" t="s">
        <v>218</v>
      </c>
      <c r="E75" s="204"/>
      <c r="F75" s="205"/>
      <c r="G75" s="210"/>
      <c r="H75" s="205"/>
      <c r="I75" s="205"/>
      <c r="J75" s="206">
        <f>'[4]2016_2025_092016'!H280</f>
        <v>43270.130000000005</v>
      </c>
      <c r="K75" s="205"/>
      <c r="L75" s="205"/>
      <c r="M75" s="74">
        <f t="shared" si="17"/>
        <v>43270.130000000005</v>
      </c>
      <c r="N75" s="207"/>
      <c r="O75" s="208"/>
      <c r="P75" s="207">
        <v>43270.130000000005</v>
      </c>
      <c r="Q75" s="207">
        <f t="shared" si="19"/>
        <v>0</v>
      </c>
      <c r="R75" s="208"/>
      <c r="S75" s="207">
        <v>43270.130000000005</v>
      </c>
      <c r="T75" s="207">
        <f t="shared" si="20"/>
        <v>0</v>
      </c>
      <c r="U75" s="208"/>
      <c r="V75" s="207">
        <v>43270.130000000005</v>
      </c>
      <c r="W75" s="207">
        <f t="shared" si="21"/>
        <v>0</v>
      </c>
      <c r="X75" s="208"/>
      <c r="Y75" s="103"/>
      <c r="Z75" s="104">
        <f t="shared" si="22"/>
        <v>0</v>
      </c>
      <c r="AA75" s="209" t="s">
        <v>219</v>
      </c>
    </row>
    <row r="76" spans="1:28" ht="30" x14ac:dyDescent="0.25">
      <c r="A76" s="1" t="s">
        <v>195</v>
      </c>
      <c r="B76" s="106" t="s">
        <v>170</v>
      </c>
      <c r="C76" s="195" t="s">
        <v>220</v>
      </c>
      <c r="D76" s="202" t="s">
        <v>221</v>
      </c>
      <c r="E76" s="204">
        <v>0</v>
      </c>
      <c r="F76" s="205">
        <v>63753</v>
      </c>
      <c r="G76" s="210">
        <v>47280</v>
      </c>
      <c r="H76" s="205">
        <v>50978.37</v>
      </c>
      <c r="I76" s="205"/>
      <c r="J76" s="205"/>
      <c r="K76" s="205"/>
      <c r="L76" s="205"/>
      <c r="M76" s="74">
        <f t="shared" si="17"/>
        <v>0</v>
      </c>
      <c r="N76" s="207">
        <f t="shared" si="18"/>
        <v>-47280</v>
      </c>
      <c r="O76" s="208"/>
      <c r="P76" s="207">
        <v>0</v>
      </c>
      <c r="Q76" s="207">
        <f t="shared" si="19"/>
        <v>0</v>
      </c>
      <c r="R76" s="208"/>
      <c r="S76" s="207">
        <v>0</v>
      </c>
      <c r="T76" s="207">
        <f t="shared" si="20"/>
        <v>0</v>
      </c>
      <c r="U76" s="208"/>
      <c r="V76" s="207">
        <v>0</v>
      </c>
      <c r="W76" s="207">
        <f t="shared" si="21"/>
        <v>0</v>
      </c>
      <c r="X76" s="208"/>
      <c r="Y76" s="103">
        <v>0</v>
      </c>
      <c r="Z76" s="104"/>
      <c r="AA76" s="104"/>
    </row>
    <row r="77" spans="1:28" x14ac:dyDescent="0.25">
      <c r="C77" s="135" t="s">
        <v>222</v>
      </c>
      <c r="D77" s="81" t="s">
        <v>223</v>
      </c>
      <c r="E77" s="82">
        <f t="shared" ref="E77:M77" si="23">E78+E80</f>
        <v>238046.45391887354</v>
      </c>
      <c r="F77" s="83">
        <f t="shared" si="23"/>
        <v>182400</v>
      </c>
      <c r="G77" s="84">
        <f>G78+G80</f>
        <v>180000</v>
      </c>
      <c r="H77" s="83">
        <f t="shared" si="23"/>
        <v>0</v>
      </c>
      <c r="I77" s="83">
        <f t="shared" si="23"/>
        <v>0</v>
      </c>
      <c r="J77" s="83">
        <f t="shared" si="23"/>
        <v>0</v>
      </c>
      <c r="K77" s="83"/>
      <c r="L77" s="83">
        <f t="shared" si="23"/>
        <v>183000</v>
      </c>
      <c r="M77" s="85">
        <f t="shared" si="23"/>
        <v>183000</v>
      </c>
      <c r="N77" s="85">
        <f t="shared" si="18"/>
        <v>3000</v>
      </c>
      <c r="O77" s="86">
        <f>N77/G77</f>
        <v>1.6666666666666666E-2</v>
      </c>
      <c r="P77" s="85">
        <f>P78+P80</f>
        <v>183000</v>
      </c>
      <c r="Q77" s="85">
        <f t="shared" si="19"/>
        <v>0</v>
      </c>
      <c r="R77" s="86"/>
      <c r="S77" s="85">
        <f>S78+S80</f>
        <v>183000</v>
      </c>
      <c r="T77" s="85">
        <f t="shared" si="20"/>
        <v>0</v>
      </c>
      <c r="U77" s="86"/>
      <c r="V77" s="85">
        <f>V78+V80</f>
        <v>183000</v>
      </c>
      <c r="W77" s="85">
        <f t="shared" si="21"/>
        <v>0</v>
      </c>
      <c r="X77" s="86"/>
      <c r="Y77" s="87">
        <f>Y78+Y80</f>
        <v>8712</v>
      </c>
      <c r="Z77" s="88">
        <f t="shared" si="22"/>
        <v>4.7606557377049177E-2</v>
      </c>
      <c r="AA77" s="88"/>
    </row>
    <row r="78" spans="1:28" ht="37.5" customHeight="1" x14ac:dyDescent="0.25">
      <c r="B78" s="1" t="s">
        <v>224</v>
      </c>
      <c r="C78" s="69" t="s">
        <v>225</v>
      </c>
      <c r="D78" s="70" t="s">
        <v>226</v>
      </c>
      <c r="E78" s="71">
        <v>238046.45391887354</v>
      </c>
      <c r="F78" s="72">
        <v>182400</v>
      </c>
      <c r="G78" s="73">
        <v>180000</v>
      </c>
      <c r="H78" s="72"/>
      <c r="I78" s="72"/>
      <c r="J78" s="72"/>
      <c r="K78" s="72"/>
      <c r="L78" s="72">
        <v>183000</v>
      </c>
      <c r="M78" s="74">
        <f>I78+J78+K78+L78</f>
        <v>183000</v>
      </c>
      <c r="N78" s="74">
        <f t="shared" si="18"/>
        <v>3000</v>
      </c>
      <c r="O78" s="75"/>
      <c r="P78" s="74">
        <v>183000</v>
      </c>
      <c r="Q78" s="74">
        <f t="shared" si="19"/>
        <v>0</v>
      </c>
      <c r="R78" s="75"/>
      <c r="S78" s="74">
        <v>183000</v>
      </c>
      <c r="T78" s="74">
        <f t="shared" si="20"/>
        <v>0</v>
      </c>
      <c r="U78" s="75"/>
      <c r="V78" s="74">
        <v>183000</v>
      </c>
      <c r="W78" s="74">
        <f t="shared" si="21"/>
        <v>0</v>
      </c>
      <c r="X78" s="75"/>
      <c r="Y78" s="76">
        <v>8712</v>
      </c>
      <c r="Z78" s="77">
        <f t="shared" si="22"/>
        <v>4.7606557377049177E-2</v>
      </c>
      <c r="AA78" s="120" t="s">
        <v>227</v>
      </c>
    </row>
    <row r="79" spans="1:28" s="68" customFormat="1" hidden="1" outlineLevel="1" x14ac:dyDescent="0.25">
      <c r="A79" s="68" t="s">
        <v>228</v>
      </c>
      <c r="C79" s="147" t="s">
        <v>229</v>
      </c>
      <c r="D79" s="148" t="s">
        <v>230</v>
      </c>
      <c r="E79" s="211"/>
      <c r="F79" s="26"/>
      <c r="G79" s="212"/>
      <c r="H79" s="26"/>
      <c r="I79" s="26"/>
      <c r="J79" s="26"/>
      <c r="K79" s="26"/>
      <c r="L79" s="26"/>
      <c r="M79" s="1"/>
      <c r="N79" s="1">
        <f t="shared" si="18"/>
        <v>0</v>
      </c>
      <c r="O79" s="29"/>
      <c r="P79" s="1"/>
      <c r="Q79" s="1">
        <f t="shared" si="19"/>
        <v>0</v>
      </c>
      <c r="R79" s="29"/>
      <c r="S79" s="1"/>
      <c r="T79" s="1">
        <f t="shared" si="20"/>
        <v>0</v>
      </c>
      <c r="U79" s="29"/>
      <c r="V79" s="1"/>
      <c r="W79" s="1">
        <f t="shared" si="21"/>
        <v>0</v>
      </c>
      <c r="X79" s="29"/>
      <c r="Y79" s="213"/>
      <c r="Z79" s="30" t="e">
        <f t="shared" si="22"/>
        <v>#DIV/0!</v>
      </c>
      <c r="AA79" s="30"/>
      <c r="AB79" s="214"/>
    </row>
    <row r="80" spans="1:28" s="123" customFormat="1" ht="30" hidden="1" outlineLevel="1" x14ac:dyDescent="0.25">
      <c r="A80" s="123" t="s">
        <v>228</v>
      </c>
      <c r="C80" s="124" t="s">
        <v>231</v>
      </c>
      <c r="D80" s="125" t="s">
        <v>232</v>
      </c>
      <c r="E80" s="126"/>
      <c r="F80" s="129"/>
      <c r="G80" s="128"/>
      <c r="H80" s="129"/>
      <c r="I80" s="129"/>
      <c r="J80" s="129"/>
      <c r="K80" s="129"/>
      <c r="L80" s="129"/>
      <c r="M80" s="130"/>
      <c r="N80" s="130">
        <f t="shared" si="18"/>
        <v>0</v>
      </c>
      <c r="O80" s="131"/>
      <c r="P80" s="130"/>
      <c r="Q80" s="130">
        <f t="shared" si="19"/>
        <v>0</v>
      </c>
      <c r="R80" s="131"/>
      <c r="S80" s="130"/>
      <c r="T80" s="130">
        <f t="shared" si="20"/>
        <v>0</v>
      </c>
      <c r="U80" s="131"/>
      <c r="V80" s="130"/>
      <c r="W80" s="130">
        <f t="shared" si="21"/>
        <v>0</v>
      </c>
      <c r="X80" s="131"/>
      <c r="Y80" s="132"/>
      <c r="Z80" s="133" t="e">
        <f t="shared" si="22"/>
        <v>#DIV/0!</v>
      </c>
      <c r="AA80" s="133"/>
      <c r="AB80" s="134"/>
    </row>
    <row r="81" spans="1:28" collapsed="1" x14ac:dyDescent="0.25">
      <c r="C81" s="135" t="s">
        <v>233</v>
      </c>
      <c r="D81" s="81" t="s">
        <v>234</v>
      </c>
      <c r="E81" s="82">
        <f t="shared" ref="E81:M81" si="24">E82+E86+E90+E91</f>
        <v>377060.36106795067</v>
      </c>
      <c r="F81" s="83">
        <f t="shared" si="24"/>
        <v>550040</v>
      </c>
      <c r="G81" s="84">
        <f>G82+G86+G90+G91</f>
        <v>493600</v>
      </c>
      <c r="H81" s="83">
        <f t="shared" si="24"/>
        <v>0</v>
      </c>
      <c r="I81" s="83">
        <f t="shared" si="24"/>
        <v>0</v>
      </c>
      <c r="J81" s="83">
        <f t="shared" si="24"/>
        <v>0</v>
      </c>
      <c r="K81" s="83"/>
      <c r="L81" s="83">
        <f>L82+L86+L90+L91</f>
        <v>501000</v>
      </c>
      <c r="M81" s="85">
        <f t="shared" si="24"/>
        <v>501000</v>
      </c>
      <c r="N81" s="85">
        <f t="shared" si="18"/>
        <v>7400</v>
      </c>
      <c r="O81" s="86">
        <f>N81/G81</f>
        <v>1.4991896272285251E-2</v>
      </c>
      <c r="P81" s="85">
        <f>P82+P86+P90+P91</f>
        <v>503700</v>
      </c>
      <c r="Q81" s="85">
        <f t="shared" si="19"/>
        <v>2700</v>
      </c>
      <c r="R81" s="86"/>
      <c r="S81" s="85">
        <f>S82+S86+S90+S91</f>
        <v>503700</v>
      </c>
      <c r="T81" s="85">
        <f t="shared" si="20"/>
        <v>0</v>
      </c>
      <c r="U81" s="86"/>
      <c r="V81" s="85">
        <f>V82+V86+V90+V91</f>
        <v>503700</v>
      </c>
      <c r="W81" s="85">
        <f t="shared" si="21"/>
        <v>0</v>
      </c>
      <c r="X81" s="86"/>
      <c r="Y81" s="87">
        <f>Y82+Y86+Y90+Y91</f>
        <v>168089</v>
      </c>
      <c r="Z81" s="88">
        <f t="shared" si="22"/>
        <v>0.33370855668056382</v>
      </c>
      <c r="AA81" s="88"/>
    </row>
    <row r="82" spans="1:28" x14ac:dyDescent="0.25">
      <c r="A82" s="1" t="s">
        <v>30</v>
      </c>
      <c r="B82" s="1" t="s">
        <v>235</v>
      </c>
      <c r="C82" s="121" t="s">
        <v>236</v>
      </c>
      <c r="D82" s="122" t="s">
        <v>237</v>
      </c>
      <c r="E82" s="71">
        <f t="shared" ref="E82:L82" si="25">SUM(E83:E85)</f>
        <v>38417.538887086586</v>
      </c>
      <c r="F82" s="72">
        <f t="shared" si="25"/>
        <v>38900</v>
      </c>
      <c r="G82" s="73">
        <f>SUM(G83:G85)</f>
        <v>55400</v>
      </c>
      <c r="H82" s="72">
        <f t="shared" si="25"/>
        <v>0</v>
      </c>
      <c r="I82" s="72">
        <f t="shared" si="25"/>
        <v>0</v>
      </c>
      <c r="J82" s="72">
        <f t="shared" si="25"/>
        <v>0</v>
      </c>
      <c r="K82" s="72"/>
      <c r="L82" s="72">
        <f t="shared" si="25"/>
        <v>55000</v>
      </c>
      <c r="M82" s="74">
        <f>SUM(M83:M85)</f>
        <v>55000</v>
      </c>
      <c r="N82" s="74">
        <f t="shared" si="18"/>
        <v>-400</v>
      </c>
      <c r="O82" s="75"/>
      <c r="P82" s="74">
        <f>SUM(P83:P85)</f>
        <v>55000</v>
      </c>
      <c r="Q82" s="74">
        <f t="shared" si="19"/>
        <v>0</v>
      </c>
      <c r="R82" s="75"/>
      <c r="S82" s="74">
        <f>SUM(S83:S85)</f>
        <v>55000</v>
      </c>
      <c r="T82" s="74">
        <f t="shared" si="20"/>
        <v>0</v>
      </c>
      <c r="U82" s="75"/>
      <c r="V82" s="74">
        <f>SUM(V83:V85)</f>
        <v>55000</v>
      </c>
      <c r="W82" s="74">
        <f t="shared" si="21"/>
        <v>0</v>
      </c>
      <c r="X82" s="75"/>
      <c r="Y82" s="76">
        <f>SUM(Y83:Y85)</f>
        <v>20412</v>
      </c>
      <c r="Z82" s="77">
        <f t="shared" si="22"/>
        <v>0.37112727272727275</v>
      </c>
      <c r="AA82" s="77"/>
    </row>
    <row r="83" spans="1:28" x14ac:dyDescent="0.25">
      <c r="B83" s="1" t="s">
        <v>238</v>
      </c>
      <c r="C83" s="195" t="s">
        <v>239</v>
      </c>
      <c r="D83" s="196" t="s">
        <v>240</v>
      </c>
      <c r="E83" s="71">
        <v>11382.974485062692</v>
      </c>
      <c r="F83" s="72">
        <v>10100</v>
      </c>
      <c r="G83" s="73">
        <v>1500</v>
      </c>
      <c r="H83" s="72"/>
      <c r="I83" s="72"/>
      <c r="J83" s="72"/>
      <c r="K83" s="72"/>
      <c r="L83" s="72">
        <v>10000</v>
      </c>
      <c r="M83" s="74">
        <f>I83+J83+K83+L83</f>
        <v>10000</v>
      </c>
      <c r="N83" s="74">
        <f t="shared" si="18"/>
        <v>8500</v>
      </c>
      <c r="O83" s="75"/>
      <c r="P83" s="74">
        <v>10000</v>
      </c>
      <c r="Q83" s="74">
        <f t="shared" si="19"/>
        <v>0</v>
      </c>
      <c r="R83" s="75"/>
      <c r="S83" s="74">
        <v>10000</v>
      </c>
      <c r="T83" s="74">
        <f t="shared" si="20"/>
        <v>0</v>
      </c>
      <c r="U83" s="75"/>
      <c r="V83" s="74">
        <v>10000</v>
      </c>
      <c r="W83" s="74">
        <f t="shared" si="21"/>
        <v>0</v>
      </c>
      <c r="X83" s="75"/>
      <c r="Y83" s="76">
        <v>40</v>
      </c>
      <c r="Z83" s="77">
        <f t="shared" si="22"/>
        <v>4.0000000000000001E-3</v>
      </c>
      <c r="AA83" s="77"/>
    </row>
    <row r="84" spans="1:28" ht="30" customHeight="1" x14ac:dyDescent="0.25">
      <c r="B84" s="1" t="s">
        <v>241</v>
      </c>
      <c r="C84" s="195" t="s">
        <v>242</v>
      </c>
      <c r="D84" s="196" t="s">
        <v>243</v>
      </c>
      <c r="E84" s="71">
        <v>14228.718106328364</v>
      </c>
      <c r="F84" s="72">
        <v>11300</v>
      </c>
      <c r="G84" s="73">
        <v>33600</v>
      </c>
      <c r="H84" s="72"/>
      <c r="I84" s="72"/>
      <c r="J84" s="72"/>
      <c r="K84" s="72"/>
      <c r="L84" s="72">
        <v>25000</v>
      </c>
      <c r="M84" s="74">
        <f>I84+J84+K84+L84</f>
        <v>25000</v>
      </c>
      <c r="N84" s="74">
        <f t="shared" si="18"/>
        <v>-8600</v>
      </c>
      <c r="O84" s="97"/>
      <c r="P84" s="74">
        <v>25000</v>
      </c>
      <c r="Q84" s="74">
        <f t="shared" si="19"/>
        <v>0</v>
      </c>
      <c r="R84" s="97"/>
      <c r="S84" s="74">
        <v>25000</v>
      </c>
      <c r="T84" s="74">
        <f t="shared" si="20"/>
        <v>0</v>
      </c>
      <c r="U84" s="97"/>
      <c r="V84" s="74">
        <v>25000</v>
      </c>
      <c r="W84" s="74">
        <f t="shared" si="21"/>
        <v>0</v>
      </c>
      <c r="X84" s="97"/>
      <c r="Y84" s="76">
        <v>13927</v>
      </c>
      <c r="Z84" s="77">
        <f t="shared" si="22"/>
        <v>0.55708000000000002</v>
      </c>
      <c r="AA84" s="77"/>
    </row>
    <row r="85" spans="1:28" ht="30" x14ac:dyDescent="0.25">
      <c r="B85" s="1" t="s">
        <v>244</v>
      </c>
      <c r="C85" s="195" t="s">
        <v>245</v>
      </c>
      <c r="D85" s="196" t="s">
        <v>246</v>
      </c>
      <c r="E85" s="71">
        <v>12805.846295695528</v>
      </c>
      <c r="F85" s="72">
        <v>17500</v>
      </c>
      <c r="G85" s="73">
        <v>20300</v>
      </c>
      <c r="H85" s="72"/>
      <c r="I85" s="72"/>
      <c r="J85" s="72"/>
      <c r="K85" s="72"/>
      <c r="L85" s="72">
        <v>20000</v>
      </c>
      <c r="M85" s="74">
        <f>I85+J85+K85+L85</f>
        <v>20000</v>
      </c>
      <c r="N85" s="74">
        <f t="shared" si="18"/>
        <v>-300</v>
      </c>
      <c r="O85" s="75"/>
      <c r="P85" s="74">
        <v>20000</v>
      </c>
      <c r="Q85" s="74">
        <f t="shared" si="19"/>
        <v>0</v>
      </c>
      <c r="R85" s="75"/>
      <c r="S85" s="74">
        <v>20000</v>
      </c>
      <c r="T85" s="74">
        <f t="shared" si="20"/>
        <v>0</v>
      </c>
      <c r="U85" s="75"/>
      <c r="V85" s="74">
        <v>20000</v>
      </c>
      <c r="W85" s="74">
        <f t="shared" si="21"/>
        <v>0</v>
      </c>
      <c r="X85" s="75"/>
      <c r="Y85" s="76">
        <v>6445</v>
      </c>
      <c r="Z85" s="77">
        <f t="shared" si="22"/>
        <v>0.32224999999999998</v>
      </c>
      <c r="AA85" s="77"/>
    </row>
    <row r="86" spans="1:28" x14ac:dyDescent="0.25">
      <c r="A86" s="1" t="s">
        <v>30</v>
      </c>
      <c r="B86" s="1" t="s">
        <v>247</v>
      </c>
      <c r="C86" s="121" t="s">
        <v>248</v>
      </c>
      <c r="D86" s="122" t="s">
        <v>249</v>
      </c>
      <c r="E86" s="71">
        <f t="shared" ref="E86:M86" si="26">SUM(E87:E89)</f>
        <v>68297.178160625146</v>
      </c>
      <c r="F86" s="72">
        <f t="shared" si="26"/>
        <v>76000</v>
      </c>
      <c r="G86" s="73">
        <f>SUM(G87:G89)</f>
        <v>76000</v>
      </c>
      <c r="H86" s="72">
        <f t="shared" si="26"/>
        <v>0</v>
      </c>
      <c r="I86" s="72">
        <f t="shared" si="26"/>
        <v>0</v>
      </c>
      <c r="J86" s="72">
        <f t="shared" si="26"/>
        <v>0</v>
      </c>
      <c r="K86" s="72"/>
      <c r="L86" s="72">
        <f t="shared" si="26"/>
        <v>83000</v>
      </c>
      <c r="M86" s="74">
        <f t="shared" si="26"/>
        <v>83000</v>
      </c>
      <c r="N86" s="74">
        <f t="shared" si="18"/>
        <v>7000</v>
      </c>
      <c r="O86" s="75"/>
      <c r="P86" s="74">
        <f>SUM(P87:P89)</f>
        <v>83000</v>
      </c>
      <c r="Q86" s="74">
        <f t="shared" si="19"/>
        <v>0</v>
      </c>
      <c r="R86" s="75"/>
      <c r="S86" s="74">
        <f>SUM(S87:S89)</f>
        <v>83000</v>
      </c>
      <c r="T86" s="74">
        <f t="shared" si="20"/>
        <v>0</v>
      </c>
      <c r="U86" s="75"/>
      <c r="V86" s="74">
        <f>SUM(V87:V89)</f>
        <v>83000</v>
      </c>
      <c r="W86" s="74">
        <f t="shared" si="21"/>
        <v>0</v>
      </c>
      <c r="X86" s="75"/>
      <c r="Y86" s="76">
        <f>SUM(Y87:Y89)</f>
        <v>29989</v>
      </c>
      <c r="Z86" s="77">
        <f t="shared" si="22"/>
        <v>0.3613132530120482</v>
      </c>
      <c r="AA86" s="77"/>
    </row>
    <row r="87" spans="1:28" x14ac:dyDescent="0.25">
      <c r="B87" s="1" t="s">
        <v>250</v>
      </c>
      <c r="C87" s="195" t="s">
        <v>251</v>
      </c>
      <c r="D87" s="196" t="s">
        <v>252</v>
      </c>
      <c r="E87" s="71">
        <v>56914.203675562458</v>
      </c>
      <c r="F87" s="72">
        <v>65000</v>
      </c>
      <c r="G87" s="73">
        <v>68000</v>
      </c>
      <c r="H87" s="72"/>
      <c r="I87" s="72"/>
      <c r="J87" s="72"/>
      <c r="K87" s="72"/>
      <c r="L87" s="72">
        <v>75000</v>
      </c>
      <c r="M87" s="74">
        <f>I87+J87+K87+L87</f>
        <v>75000</v>
      </c>
      <c r="N87" s="74">
        <f t="shared" si="18"/>
        <v>7000</v>
      </c>
      <c r="O87" s="75"/>
      <c r="P87" s="74">
        <v>75000</v>
      </c>
      <c r="Q87" s="74">
        <f t="shared" si="19"/>
        <v>0</v>
      </c>
      <c r="R87" s="75"/>
      <c r="S87" s="74">
        <v>75000</v>
      </c>
      <c r="T87" s="74">
        <f t="shared" si="20"/>
        <v>0</v>
      </c>
      <c r="U87" s="75"/>
      <c r="V87" s="74">
        <f>75000</f>
        <v>75000</v>
      </c>
      <c r="W87" s="74">
        <f t="shared" si="21"/>
        <v>0</v>
      </c>
      <c r="X87" s="75"/>
      <c r="Y87" s="76">
        <v>29220</v>
      </c>
      <c r="Z87" s="77">
        <f t="shared" si="22"/>
        <v>0.3896</v>
      </c>
      <c r="AA87" s="77"/>
    </row>
    <row r="88" spans="1:28" x14ac:dyDescent="0.25">
      <c r="B88" s="1" t="s">
        <v>253</v>
      </c>
      <c r="C88" s="195" t="s">
        <v>254</v>
      </c>
      <c r="D88" s="196" t="s">
        <v>255</v>
      </c>
      <c r="E88" s="71">
        <v>9960.1026744298561</v>
      </c>
      <c r="F88" s="72">
        <v>11000</v>
      </c>
      <c r="G88" s="73">
        <v>8000</v>
      </c>
      <c r="H88" s="72"/>
      <c r="I88" s="72"/>
      <c r="J88" s="72"/>
      <c r="K88" s="72"/>
      <c r="L88" s="72">
        <v>8000</v>
      </c>
      <c r="M88" s="74">
        <f>I88+J88+K88+L88</f>
        <v>8000</v>
      </c>
      <c r="N88" s="74">
        <f t="shared" si="18"/>
        <v>0</v>
      </c>
      <c r="O88" s="75"/>
      <c r="P88" s="74">
        <v>8000</v>
      </c>
      <c r="Q88" s="74">
        <f t="shared" si="19"/>
        <v>0</v>
      </c>
      <c r="R88" s="75"/>
      <c r="S88" s="74">
        <v>8000</v>
      </c>
      <c r="T88" s="74">
        <f t="shared" si="20"/>
        <v>0</v>
      </c>
      <c r="U88" s="75"/>
      <c r="V88" s="74">
        <v>8000</v>
      </c>
      <c r="W88" s="74">
        <f t="shared" si="21"/>
        <v>0</v>
      </c>
      <c r="X88" s="75"/>
      <c r="Y88" s="76">
        <v>769</v>
      </c>
      <c r="Z88" s="77">
        <f t="shared" si="22"/>
        <v>9.6125000000000002E-2</v>
      </c>
      <c r="AA88" s="77"/>
    </row>
    <row r="89" spans="1:28" s="169" customFormat="1" ht="30" hidden="1" outlineLevel="1" x14ac:dyDescent="0.25">
      <c r="B89" s="169" t="s">
        <v>256</v>
      </c>
      <c r="C89" s="215" t="s">
        <v>257</v>
      </c>
      <c r="D89" s="216" t="s">
        <v>258</v>
      </c>
      <c r="E89" s="172">
        <v>1422.8718106328365</v>
      </c>
      <c r="F89" s="173">
        <v>0</v>
      </c>
      <c r="G89" s="174">
        <f>F89</f>
        <v>0</v>
      </c>
      <c r="H89" s="173"/>
      <c r="I89" s="173"/>
      <c r="J89" s="173"/>
      <c r="K89" s="173"/>
      <c r="L89" s="173">
        <v>0</v>
      </c>
      <c r="M89" s="175">
        <f>I89+J89+L89</f>
        <v>0</v>
      </c>
      <c r="N89" s="175">
        <f t="shared" si="18"/>
        <v>0</v>
      </c>
      <c r="O89" s="176"/>
      <c r="P89" s="175">
        <f>O89</f>
        <v>0</v>
      </c>
      <c r="Q89" s="175">
        <f t="shared" si="19"/>
        <v>0</v>
      </c>
      <c r="R89" s="176"/>
      <c r="S89" s="175">
        <f>R89</f>
        <v>0</v>
      </c>
      <c r="T89" s="175">
        <f t="shared" si="20"/>
        <v>0</v>
      </c>
      <c r="U89" s="176"/>
      <c r="V89" s="175">
        <f>U89</f>
        <v>0</v>
      </c>
      <c r="W89" s="175">
        <f t="shared" si="21"/>
        <v>0</v>
      </c>
      <c r="X89" s="176"/>
      <c r="Y89" s="177"/>
      <c r="Z89" s="178" t="e">
        <f t="shared" si="22"/>
        <v>#DIV/0!</v>
      </c>
      <c r="AA89" s="178"/>
      <c r="AB89" s="179"/>
    </row>
    <row r="90" spans="1:28" ht="16.5" customHeight="1" collapsed="1" x14ac:dyDescent="0.25">
      <c r="A90" s="1" t="s">
        <v>30</v>
      </c>
      <c r="B90" s="1" t="s">
        <v>259</v>
      </c>
      <c r="C90" s="121" t="s">
        <v>260</v>
      </c>
      <c r="D90" s="122" t="s">
        <v>261</v>
      </c>
      <c r="E90" s="71">
        <v>220545.13064808966</v>
      </c>
      <c r="F90" s="72">
        <v>385140</v>
      </c>
      <c r="G90" s="73">
        <v>298000</v>
      </c>
      <c r="H90" s="72"/>
      <c r="I90" s="72"/>
      <c r="J90" s="72"/>
      <c r="K90" s="72"/>
      <c r="L90" s="72">
        <v>300000</v>
      </c>
      <c r="M90" s="74">
        <f>I90+J90+K90+L90</f>
        <v>300000</v>
      </c>
      <c r="N90" s="74">
        <f t="shared" si="18"/>
        <v>2000</v>
      </c>
      <c r="O90" s="182"/>
      <c r="P90" s="74">
        <v>300000</v>
      </c>
      <c r="Q90" s="74">
        <f t="shared" si="19"/>
        <v>0</v>
      </c>
      <c r="R90" s="182"/>
      <c r="S90" s="74">
        <v>300000</v>
      </c>
      <c r="T90" s="74">
        <f t="shared" si="20"/>
        <v>0</v>
      </c>
      <c r="U90" s="182"/>
      <c r="V90" s="74">
        <v>300000</v>
      </c>
      <c r="W90" s="74">
        <f t="shared" si="21"/>
        <v>0</v>
      </c>
      <c r="X90" s="182"/>
      <c r="Y90" s="76">
        <v>94343</v>
      </c>
      <c r="Z90" s="77">
        <f t="shared" si="22"/>
        <v>0.31447666666666668</v>
      </c>
      <c r="AA90" s="77"/>
    </row>
    <row r="91" spans="1:28" ht="30.75" thickBot="1" x14ac:dyDescent="0.3">
      <c r="A91" s="1" t="s">
        <v>30</v>
      </c>
      <c r="B91" s="106" t="s">
        <v>262</v>
      </c>
      <c r="C91" s="121" t="s">
        <v>263</v>
      </c>
      <c r="D91" s="122" t="s">
        <v>264</v>
      </c>
      <c r="E91" s="71">
        <v>49800.513372149275</v>
      </c>
      <c r="F91" s="72">
        <v>50000</v>
      </c>
      <c r="G91" s="73">
        <v>64200</v>
      </c>
      <c r="H91" s="72"/>
      <c r="I91" s="72"/>
      <c r="J91" s="72"/>
      <c r="K91" s="72"/>
      <c r="L91" s="72">
        <v>63000</v>
      </c>
      <c r="M91" s="74">
        <f>I91+J91+K91+L91</f>
        <v>63000</v>
      </c>
      <c r="N91" s="74">
        <f t="shared" si="18"/>
        <v>-1200</v>
      </c>
      <c r="O91" s="217"/>
      <c r="P91" s="74">
        <f>63000+2700</f>
        <v>65700</v>
      </c>
      <c r="Q91" s="74">
        <f t="shared" si="19"/>
        <v>2700</v>
      </c>
      <c r="R91" s="97" t="s">
        <v>265</v>
      </c>
      <c r="S91" s="74">
        <f>63000+2700</f>
        <v>65700</v>
      </c>
      <c r="T91" s="74">
        <f t="shared" si="20"/>
        <v>0</v>
      </c>
      <c r="U91" s="97"/>
      <c r="V91" s="74">
        <f>63000+2700</f>
        <v>65700</v>
      </c>
      <c r="W91" s="74">
        <f t="shared" si="21"/>
        <v>0</v>
      </c>
      <c r="X91" s="97"/>
      <c r="Y91" s="76">
        <v>23345</v>
      </c>
      <c r="Z91" s="77">
        <f t="shared" si="22"/>
        <v>0.35532724505327246</v>
      </c>
      <c r="AA91" s="77"/>
    </row>
    <row r="92" spans="1:28" ht="15.75" thickBot="1" x14ac:dyDescent="0.3">
      <c r="C92" s="218"/>
      <c r="D92" s="219" t="s">
        <v>266</v>
      </c>
      <c r="E92" s="220">
        <f t="shared" ref="E92:M92" si="27">E7+E10+E13+E16+E19+E20+E32+E36+E40+E43+E77+E81</f>
        <v>11906728.114561347</v>
      </c>
      <c r="F92" s="221">
        <f t="shared" si="27"/>
        <v>12595775.017012641</v>
      </c>
      <c r="G92" s="222">
        <f t="shared" si="27"/>
        <v>14372912.360313069</v>
      </c>
      <c r="H92" s="221">
        <f t="shared" si="27"/>
        <v>135713.37</v>
      </c>
      <c r="I92" s="221">
        <f t="shared" si="27"/>
        <v>2621381.1086800001</v>
      </c>
      <c r="J92" s="221">
        <f t="shared" si="27"/>
        <v>1967290.13</v>
      </c>
      <c r="K92" s="221">
        <f t="shared" si="27"/>
        <v>0</v>
      </c>
      <c r="L92" s="221">
        <f t="shared" si="27"/>
        <v>11960409.957927698</v>
      </c>
      <c r="M92" s="223">
        <f t="shared" si="27"/>
        <v>16549081.196607698</v>
      </c>
      <c r="N92" s="223">
        <f t="shared" si="18"/>
        <v>2176168.8362946287</v>
      </c>
      <c r="O92" s="224">
        <f>N92/G92</f>
        <v>0.1514076466717722</v>
      </c>
      <c r="P92" s="223">
        <f>P7+P10+P13+P16+P19+P20+P32+P36+P40+P43+P77+P81</f>
        <v>16605881.676607698</v>
      </c>
      <c r="Q92" s="223">
        <f t="shared" si="19"/>
        <v>56800.480000000447</v>
      </c>
      <c r="R92" s="224"/>
      <c r="S92" s="223">
        <f>S7+S10+S13+S16+S19+S20+S32+S36+S40+S43+S77+S81</f>
        <v>16732155.976607699</v>
      </c>
      <c r="T92" s="223">
        <f t="shared" si="20"/>
        <v>126274.30000000075</v>
      </c>
      <c r="U92" s="224"/>
      <c r="V92" s="223">
        <f>V7+V10+V13+V16+V19+V20+V32+V36+V40+V43+V77+V81</f>
        <v>16709988.496607699</v>
      </c>
      <c r="W92" s="223">
        <f t="shared" si="21"/>
        <v>-22167.480000000447</v>
      </c>
      <c r="X92" s="224"/>
      <c r="Y92" s="225">
        <f>Y7+Y10+Y13+Y16+Y19+Y20+Y32+Y36+Y40+Y43+Y77+Y81</f>
        <v>3805767</v>
      </c>
      <c r="Z92" s="226">
        <f t="shared" si="22"/>
        <v>0.22775401675307019</v>
      </c>
      <c r="AA92" s="226"/>
    </row>
    <row r="93" spans="1:28" ht="30" thickBot="1" x14ac:dyDescent="0.3">
      <c r="C93" s="227" t="s">
        <v>267</v>
      </c>
      <c r="D93" s="228" t="s">
        <v>268</v>
      </c>
      <c r="E93" s="229">
        <f>E94+E95</f>
        <v>2575563.9836995807</v>
      </c>
      <c r="F93" s="230">
        <f>SUM(F94:F95)</f>
        <v>3538044.12</v>
      </c>
      <c r="G93" s="231">
        <f>SUM(G94:G95)</f>
        <v>3357798.82</v>
      </c>
      <c r="H93" s="230"/>
      <c r="I93" s="230"/>
      <c r="J93" s="230"/>
      <c r="K93" s="230"/>
      <c r="L93" s="230">
        <f>SUM(L94:L95)</f>
        <v>1205561.7</v>
      </c>
      <c r="M93" s="232">
        <f>SUM(M94:M95)</f>
        <v>1341275.0699999998</v>
      </c>
      <c r="N93" s="232">
        <f t="shared" si="18"/>
        <v>-2016523.75</v>
      </c>
      <c r="O93" s="233">
        <f>N93/G93</f>
        <v>-0.60054930569068465</v>
      </c>
      <c r="P93" s="232">
        <f>SUM(P94:P95)</f>
        <v>1345540.0699999998</v>
      </c>
      <c r="Q93" s="232">
        <f t="shared" si="19"/>
        <v>4265</v>
      </c>
      <c r="R93" s="233"/>
      <c r="S93" s="232">
        <f>SUM(S94:S95)</f>
        <v>1345540.0699999998</v>
      </c>
      <c r="T93" s="232">
        <f t="shared" si="20"/>
        <v>0</v>
      </c>
      <c r="U93" s="233"/>
      <c r="V93" s="232">
        <f>SUM(V94:V95)</f>
        <v>1345540.0699999998</v>
      </c>
      <c r="W93" s="232">
        <f t="shared" si="21"/>
        <v>0</v>
      </c>
      <c r="X93" s="233"/>
      <c r="Y93" s="234">
        <f>Y94+Y95</f>
        <v>1345540</v>
      </c>
      <c r="Z93" s="235">
        <f t="shared" si="22"/>
        <v>0.99999994797628</v>
      </c>
      <c r="AA93" s="235"/>
    </row>
    <row r="94" spans="1:28" x14ac:dyDescent="0.25">
      <c r="C94" s="69" t="s">
        <v>269</v>
      </c>
      <c r="D94" s="70" t="s">
        <v>270</v>
      </c>
      <c r="E94" s="71">
        <v>333546.76410492824</v>
      </c>
      <c r="F94" s="72">
        <v>194977.51</v>
      </c>
      <c r="G94" s="73">
        <v>132569.76999999999</v>
      </c>
      <c r="H94" s="72">
        <f>H92</f>
        <v>135713.37</v>
      </c>
      <c r="I94" s="72"/>
      <c r="J94" s="72"/>
      <c r="K94" s="72"/>
      <c r="L94" s="72"/>
      <c r="M94" s="74">
        <f>H94</f>
        <v>135713.37</v>
      </c>
      <c r="N94" s="74">
        <f t="shared" si="18"/>
        <v>3143.6000000000058</v>
      </c>
      <c r="O94" s="75"/>
      <c r="P94" s="74">
        <v>135713.37</v>
      </c>
      <c r="Q94" s="74">
        <f t="shared" si="19"/>
        <v>0</v>
      </c>
      <c r="R94" s="75"/>
      <c r="S94" s="74">
        <v>135713.37</v>
      </c>
      <c r="T94" s="74">
        <f t="shared" si="20"/>
        <v>0</v>
      </c>
      <c r="U94" s="75"/>
      <c r="V94" s="74">
        <v>135713.37</v>
      </c>
      <c r="W94" s="74">
        <f t="shared" si="21"/>
        <v>0</v>
      </c>
      <c r="X94" s="75"/>
      <c r="Y94" s="76">
        <f>135713</f>
        <v>135713</v>
      </c>
      <c r="Z94" s="77">
        <f t="shared" si="22"/>
        <v>0.99999727366581503</v>
      </c>
      <c r="AA94" s="77"/>
    </row>
    <row r="95" spans="1:28" x14ac:dyDescent="0.25">
      <c r="C95" s="69" t="s">
        <v>271</v>
      </c>
      <c r="D95" s="70" t="s">
        <v>272</v>
      </c>
      <c r="E95" s="71">
        <v>2242017.2195946523</v>
      </c>
      <c r="F95" s="72">
        <v>3343066.6100000003</v>
      </c>
      <c r="G95" s="73">
        <v>3225229.05</v>
      </c>
      <c r="H95" s="72"/>
      <c r="I95" s="72"/>
      <c r="J95" s="72"/>
      <c r="K95" s="72"/>
      <c r="L95" s="72">
        <f>1191405.7+14156</f>
        <v>1205561.7</v>
      </c>
      <c r="M95" s="74">
        <f>I95+J95+K95+L95</f>
        <v>1205561.7</v>
      </c>
      <c r="N95" s="74">
        <f t="shared" si="18"/>
        <v>-2019667.3499999999</v>
      </c>
      <c r="O95" s="75"/>
      <c r="P95" s="74">
        <f>1205561.7+4265</f>
        <v>1209826.7</v>
      </c>
      <c r="Q95" s="74">
        <f t="shared" si="19"/>
        <v>4265</v>
      </c>
      <c r="R95" s="75" t="s">
        <v>273</v>
      </c>
      <c r="S95" s="74">
        <f>1205561.7+4265</f>
        <v>1209826.7</v>
      </c>
      <c r="T95" s="74">
        <f t="shared" si="20"/>
        <v>0</v>
      </c>
      <c r="U95" s="75"/>
      <c r="V95" s="74">
        <f>1205561.7+4265</f>
        <v>1209826.7</v>
      </c>
      <c r="W95" s="74">
        <f t="shared" si="21"/>
        <v>0</v>
      </c>
      <c r="X95" s="75"/>
      <c r="Y95" s="76">
        <v>1209827</v>
      </c>
      <c r="Z95" s="77">
        <f t="shared" si="22"/>
        <v>1.0000002479693992</v>
      </c>
      <c r="AA95" s="77"/>
    </row>
    <row r="96" spans="1:28" x14ac:dyDescent="0.25">
      <c r="C96" s="135" t="s">
        <v>274</v>
      </c>
      <c r="D96" s="81" t="s">
        <v>275</v>
      </c>
      <c r="E96" s="82">
        <f t="shared" ref="E96:K96" si="28">E97+E98</f>
        <v>335948.5717212765</v>
      </c>
      <c r="F96" s="83">
        <f t="shared" si="28"/>
        <v>0</v>
      </c>
      <c r="G96" s="84">
        <f>G97+G98</f>
        <v>71514</v>
      </c>
      <c r="H96" s="83">
        <f t="shared" si="28"/>
        <v>0</v>
      </c>
      <c r="I96" s="83">
        <f t="shared" si="28"/>
        <v>0</v>
      </c>
      <c r="J96" s="83">
        <f t="shared" si="28"/>
        <v>0</v>
      </c>
      <c r="K96" s="83">
        <f t="shared" si="28"/>
        <v>4961373.4875999996</v>
      </c>
      <c r="L96" s="83">
        <f>L97+L98</f>
        <v>0</v>
      </c>
      <c r="M96" s="85">
        <f>M97+M98</f>
        <v>4961373.4875999996</v>
      </c>
      <c r="N96" s="85">
        <f t="shared" si="18"/>
        <v>4889859.4875999996</v>
      </c>
      <c r="O96" s="86">
        <f>N96/G96</f>
        <v>68.37625482562855</v>
      </c>
      <c r="P96" s="85">
        <f>P97+P98</f>
        <v>4953116.2450999999</v>
      </c>
      <c r="Q96" s="85">
        <f t="shared" si="19"/>
        <v>-8257.242499999702</v>
      </c>
      <c r="R96" s="86"/>
      <c r="S96" s="85">
        <f>S97+S98</f>
        <v>4829458.5675999997</v>
      </c>
      <c r="T96" s="85">
        <f t="shared" si="20"/>
        <v>-123657.67750000022</v>
      </c>
      <c r="U96" s="86"/>
      <c r="V96" s="85">
        <f>V97+V98</f>
        <v>4892715.4875999996</v>
      </c>
      <c r="W96" s="85">
        <f t="shared" si="21"/>
        <v>63256.919999999925</v>
      </c>
      <c r="X96" s="86"/>
      <c r="Y96" s="87">
        <f>Y97+Y98</f>
        <v>0</v>
      </c>
      <c r="Z96" s="88">
        <f t="shared" si="22"/>
        <v>0</v>
      </c>
      <c r="AA96" s="88"/>
    </row>
    <row r="97" spans="1:28" s="123" customFormat="1" hidden="1" outlineLevel="1" x14ac:dyDescent="0.25">
      <c r="C97" s="124" t="s">
        <v>276</v>
      </c>
      <c r="D97" s="125" t="s">
        <v>277</v>
      </c>
      <c r="E97" s="126"/>
      <c r="F97" s="129"/>
      <c r="G97" s="128"/>
      <c r="H97" s="129"/>
      <c r="I97" s="129"/>
      <c r="J97" s="129"/>
      <c r="K97" s="129"/>
      <c r="L97" s="129"/>
      <c r="M97" s="130"/>
      <c r="N97" s="130">
        <f t="shared" si="18"/>
        <v>0</v>
      </c>
      <c r="O97" s="131"/>
      <c r="P97" s="130"/>
      <c r="Q97" s="130">
        <f t="shared" si="19"/>
        <v>0</v>
      </c>
      <c r="R97" s="131"/>
      <c r="S97" s="130"/>
      <c r="T97" s="130">
        <f t="shared" si="20"/>
        <v>0</v>
      </c>
      <c r="U97" s="131"/>
      <c r="V97" s="130"/>
      <c r="W97" s="130">
        <f t="shared" si="21"/>
        <v>0</v>
      </c>
      <c r="X97" s="131"/>
      <c r="Y97" s="132"/>
      <c r="Z97" s="133" t="e">
        <f t="shared" si="22"/>
        <v>#DIV/0!</v>
      </c>
      <c r="AA97" s="133"/>
      <c r="AB97" s="134"/>
    </row>
    <row r="98" spans="1:28" ht="15.75" customHeight="1" collapsed="1" x14ac:dyDescent="0.25">
      <c r="A98" s="1" t="s">
        <v>195</v>
      </c>
      <c r="C98" s="69" t="s">
        <v>276</v>
      </c>
      <c r="D98" s="70" t="s">
        <v>278</v>
      </c>
      <c r="E98" s="71">
        <f t="shared" ref="E98:J98" si="29">SUM(E99:E101)</f>
        <v>335948.5717212765</v>
      </c>
      <c r="F98" s="72">
        <f t="shared" si="29"/>
        <v>0</v>
      </c>
      <c r="G98" s="73">
        <f>SUM(G99:G101)</f>
        <v>71514</v>
      </c>
      <c r="H98" s="72"/>
      <c r="I98" s="72">
        <f t="shared" si="29"/>
        <v>0</v>
      </c>
      <c r="J98" s="72">
        <f t="shared" si="29"/>
        <v>0</v>
      </c>
      <c r="K98" s="72">
        <f>SUM(K99:K107)</f>
        <v>4961373.4875999996</v>
      </c>
      <c r="L98" s="72"/>
      <c r="M98" s="74">
        <f>SUM(M99:M107)</f>
        <v>4961373.4875999996</v>
      </c>
      <c r="N98" s="74">
        <f t="shared" si="18"/>
        <v>4889859.4875999996</v>
      </c>
      <c r="O98" s="75"/>
      <c r="P98" s="74">
        <f>SUM(P99:P107)</f>
        <v>4953116.2450999999</v>
      </c>
      <c r="Q98" s="74">
        <f t="shared" si="19"/>
        <v>-8257.242499999702</v>
      </c>
      <c r="R98" s="75"/>
      <c r="S98" s="74">
        <f>SUM(S99:S108)</f>
        <v>4829458.5675999997</v>
      </c>
      <c r="T98" s="74">
        <f t="shared" si="20"/>
        <v>-123657.67750000022</v>
      </c>
      <c r="U98" s="75"/>
      <c r="V98" s="74">
        <f>SUM(V99:V108)</f>
        <v>4892715.4875999996</v>
      </c>
      <c r="W98" s="74">
        <f t="shared" si="21"/>
        <v>63256.919999999925</v>
      </c>
      <c r="X98" s="75"/>
      <c r="Y98" s="76">
        <f>SUM(Y99:Y101)</f>
        <v>0</v>
      </c>
      <c r="Z98" s="77">
        <f t="shared" si="22"/>
        <v>0</v>
      </c>
      <c r="AA98" s="77"/>
    </row>
    <row r="99" spans="1:28" ht="30" x14ac:dyDescent="0.25">
      <c r="C99" s="195" t="s">
        <v>279</v>
      </c>
      <c r="D99" s="236" t="s">
        <v>280</v>
      </c>
      <c r="E99" s="71">
        <v>335948.5717212765</v>
      </c>
      <c r="F99" s="72"/>
      <c r="G99" s="73">
        <v>0</v>
      </c>
      <c r="H99" s="72"/>
      <c r="I99" s="72"/>
      <c r="J99" s="72"/>
      <c r="K99" s="72">
        <v>2289084</v>
      </c>
      <c r="L99" s="72"/>
      <c r="M99" s="74">
        <f>I99+J99+K99+L99</f>
        <v>2289084</v>
      </c>
      <c r="N99" s="74">
        <f t="shared" si="18"/>
        <v>2289084</v>
      </c>
      <c r="O99" s="75"/>
      <c r="P99" s="74">
        <v>2289083.6774999998</v>
      </c>
      <c r="Q99" s="74">
        <f t="shared" si="19"/>
        <v>-0.32250000024214387</v>
      </c>
      <c r="R99" s="75"/>
      <c r="S99" s="74">
        <f>1925611+154815</f>
        <v>2080426</v>
      </c>
      <c r="T99" s="74">
        <f t="shared" si="20"/>
        <v>-208657.67749999976</v>
      </c>
      <c r="U99" s="97" t="s">
        <v>281</v>
      </c>
      <c r="V99" s="74">
        <f>1925611+154815</f>
        <v>2080426</v>
      </c>
      <c r="W99" s="74">
        <f t="shared" si="21"/>
        <v>0</v>
      </c>
      <c r="X99" s="97"/>
      <c r="Y99" s="76"/>
      <c r="Z99" s="77">
        <f t="shared" si="22"/>
        <v>0</v>
      </c>
      <c r="AA99" s="120" t="s">
        <v>282</v>
      </c>
    </row>
    <row r="100" spans="1:28" x14ac:dyDescent="0.25">
      <c r="C100" s="195" t="s">
        <v>283</v>
      </c>
      <c r="D100" s="236" t="s">
        <v>284</v>
      </c>
      <c r="E100" s="71"/>
      <c r="F100" s="72"/>
      <c r="G100" s="73">
        <v>0</v>
      </c>
      <c r="H100" s="72"/>
      <c r="I100" s="72"/>
      <c r="J100" s="72"/>
      <c r="K100" s="72"/>
      <c r="L100" s="72"/>
      <c r="M100" s="74">
        <f t="shared" ref="M100:M107" si="30">I100+J100+K100+L100</f>
        <v>0</v>
      </c>
      <c r="N100" s="74">
        <f t="shared" si="18"/>
        <v>0</v>
      </c>
      <c r="O100" s="75"/>
      <c r="P100" s="74">
        <v>0</v>
      </c>
      <c r="Q100" s="74">
        <f t="shared" si="19"/>
        <v>0</v>
      </c>
      <c r="R100" s="75"/>
      <c r="S100" s="74">
        <v>0</v>
      </c>
      <c r="T100" s="74">
        <f t="shared" si="20"/>
        <v>0</v>
      </c>
      <c r="U100" s="75"/>
      <c r="V100" s="74">
        <v>0</v>
      </c>
      <c r="W100" s="74">
        <f t="shared" si="21"/>
        <v>0</v>
      </c>
      <c r="X100" s="75"/>
      <c r="Y100" s="76"/>
      <c r="Z100" s="77"/>
      <c r="AA100" s="77"/>
    </row>
    <row r="101" spans="1:28" ht="60.75" customHeight="1" x14ac:dyDescent="0.25">
      <c r="C101" s="195" t="s">
        <v>285</v>
      </c>
      <c r="D101" s="236" t="s">
        <v>286</v>
      </c>
      <c r="E101" s="71"/>
      <c r="F101" s="72">
        <v>0</v>
      </c>
      <c r="G101" s="73">
        <v>71514</v>
      </c>
      <c r="H101" s="72"/>
      <c r="I101" s="72"/>
      <c r="J101" s="72"/>
      <c r="K101" s="72">
        <f>'[4]2016_2025_092016'!H94+'[4]2016_2025_092016'!H95</f>
        <v>1659929.23</v>
      </c>
      <c r="L101" s="72"/>
      <c r="M101" s="74">
        <f t="shared" si="30"/>
        <v>1659929.23</v>
      </c>
      <c r="N101" s="74">
        <f t="shared" si="18"/>
        <v>1588415.23</v>
      </c>
      <c r="O101" s="75"/>
      <c r="P101" s="74">
        <v>1659929.23</v>
      </c>
      <c r="Q101" s="74">
        <f t="shared" si="19"/>
        <v>0</v>
      </c>
      <c r="R101" s="75"/>
      <c r="S101" s="74">
        <v>1659929.23</v>
      </c>
      <c r="T101" s="74">
        <f t="shared" si="20"/>
        <v>0</v>
      </c>
      <c r="U101" s="75"/>
      <c r="V101" s="74">
        <v>1659929.23</v>
      </c>
      <c r="W101" s="74">
        <f t="shared" si="21"/>
        <v>0</v>
      </c>
      <c r="X101" s="75"/>
      <c r="Y101" s="76">
        <v>0</v>
      </c>
      <c r="Z101" s="77">
        <f t="shared" si="22"/>
        <v>0</v>
      </c>
      <c r="AA101" s="120" t="s">
        <v>287</v>
      </c>
    </row>
    <row r="102" spans="1:28" ht="34.5" customHeight="1" x14ac:dyDescent="0.25">
      <c r="C102" s="195" t="s">
        <v>288</v>
      </c>
      <c r="D102" s="236" t="s">
        <v>289</v>
      </c>
      <c r="E102" s="71"/>
      <c r="F102" s="72"/>
      <c r="G102" s="73"/>
      <c r="H102" s="72"/>
      <c r="I102" s="72"/>
      <c r="J102" s="72"/>
      <c r="K102" s="72">
        <f>'[4]2016_2025_092016'!H162</f>
        <v>814060.02</v>
      </c>
      <c r="L102" s="72"/>
      <c r="M102" s="74">
        <f t="shared" si="30"/>
        <v>814060.02</v>
      </c>
      <c r="N102" s="74">
        <f>M102-G102</f>
        <v>814060.02</v>
      </c>
      <c r="O102" s="102"/>
      <c r="P102" s="74">
        <v>814060.02</v>
      </c>
      <c r="Q102" s="74">
        <f t="shared" si="19"/>
        <v>0</v>
      </c>
      <c r="R102" s="102"/>
      <c r="S102" s="74">
        <v>814060.02</v>
      </c>
      <c r="T102" s="74">
        <f t="shared" si="20"/>
        <v>0</v>
      </c>
      <c r="U102" s="102"/>
      <c r="V102" s="74">
        <v>814060.02</v>
      </c>
      <c r="W102" s="74">
        <f t="shared" si="21"/>
        <v>0</v>
      </c>
      <c r="X102" s="102"/>
      <c r="Y102" s="76"/>
      <c r="Z102" s="77">
        <f t="shared" si="22"/>
        <v>0</v>
      </c>
      <c r="AA102" s="120" t="s">
        <v>290</v>
      </c>
    </row>
    <row r="103" spans="1:28" x14ac:dyDescent="0.25">
      <c r="C103" s="195" t="s">
        <v>291</v>
      </c>
      <c r="D103" s="236" t="s">
        <v>292</v>
      </c>
      <c r="E103" s="71"/>
      <c r="F103" s="72"/>
      <c r="G103" s="73"/>
      <c r="H103" s="72"/>
      <c r="I103" s="72"/>
      <c r="J103" s="72"/>
      <c r="K103" s="72">
        <f>'[4]2016_2025_092016'!H175</f>
        <v>41866.879999999997</v>
      </c>
      <c r="L103" s="72"/>
      <c r="M103" s="74">
        <f t="shared" si="30"/>
        <v>41866.879999999997</v>
      </c>
      <c r="N103" s="74">
        <f>M103-G103</f>
        <v>41866.879999999997</v>
      </c>
      <c r="O103" s="102"/>
      <c r="P103" s="74">
        <v>41866.879999999997</v>
      </c>
      <c r="Q103" s="74">
        <f t="shared" si="19"/>
        <v>0</v>
      </c>
      <c r="R103" s="102"/>
      <c r="S103" s="74">
        <v>41866.879999999997</v>
      </c>
      <c r="T103" s="74">
        <f t="shared" si="20"/>
        <v>0</v>
      </c>
      <c r="U103" s="102"/>
      <c r="V103" s="74">
        <v>41866.879999999997</v>
      </c>
      <c r="W103" s="74">
        <f t="shared" si="21"/>
        <v>0</v>
      </c>
      <c r="X103" s="102"/>
      <c r="Y103" s="76"/>
      <c r="Z103" s="77">
        <f t="shared" si="22"/>
        <v>0</v>
      </c>
      <c r="AA103" s="77"/>
    </row>
    <row r="104" spans="1:28" ht="60" x14ac:dyDescent="0.25">
      <c r="C104" s="195" t="s">
        <v>293</v>
      </c>
      <c r="D104" s="236" t="s">
        <v>294</v>
      </c>
      <c r="E104" s="71"/>
      <c r="F104" s="72"/>
      <c r="G104" s="73"/>
      <c r="H104" s="72"/>
      <c r="I104" s="72"/>
      <c r="J104" s="72"/>
      <c r="K104" s="72">
        <f>'[4]2016_2025_092016'!H200</f>
        <v>20933</v>
      </c>
      <c r="L104" s="72"/>
      <c r="M104" s="74">
        <f t="shared" si="30"/>
        <v>20933</v>
      </c>
      <c r="N104" s="74">
        <f>M104-G104</f>
        <v>20933</v>
      </c>
      <c r="O104" s="102"/>
      <c r="P104" s="74">
        <v>12676.079999999994</v>
      </c>
      <c r="Q104" s="74">
        <f t="shared" si="19"/>
        <v>-8256.9200000000055</v>
      </c>
      <c r="R104" s="102"/>
      <c r="S104" s="74">
        <v>12676.079999999994</v>
      </c>
      <c r="T104" s="74">
        <f t="shared" si="20"/>
        <v>0</v>
      </c>
      <c r="U104" s="102"/>
      <c r="V104" s="74">
        <v>20933</v>
      </c>
      <c r="W104" s="74">
        <f t="shared" si="21"/>
        <v>8256.9200000000055</v>
      </c>
      <c r="X104" s="102" t="s">
        <v>295</v>
      </c>
      <c r="Y104" s="76"/>
      <c r="Z104" s="77">
        <f t="shared" si="22"/>
        <v>0</v>
      </c>
      <c r="AA104" s="120" t="s">
        <v>296</v>
      </c>
    </row>
    <row r="105" spans="1:28" x14ac:dyDescent="0.25">
      <c r="C105" s="195" t="s">
        <v>297</v>
      </c>
      <c r="D105" s="236" t="s">
        <v>298</v>
      </c>
      <c r="E105" s="71"/>
      <c r="F105" s="72"/>
      <c r="G105" s="73"/>
      <c r="H105" s="72"/>
      <c r="I105" s="72"/>
      <c r="J105" s="72"/>
      <c r="K105" s="72">
        <f>'[4]2016_2025_092016'!H216</f>
        <v>0</v>
      </c>
      <c r="L105" s="72"/>
      <c r="M105" s="74">
        <f t="shared" si="30"/>
        <v>0</v>
      </c>
      <c r="N105" s="74">
        <f>M105-G105</f>
        <v>0</v>
      </c>
      <c r="O105" s="102"/>
      <c r="P105" s="74">
        <v>0</v>
      </c>
      <c r="Q105" s="74">
        <f t="shared" si="19"/>
        <v>0</v>
      </c>
      <c r="R105" s="102"/>
      <c r="S105" s="74">
        <v>0</v>
      </c>
      <c r="T105" s="74">
        <f t="shared" si="20"/>
        <v>0</v>
      </c>
      <c r="U105" s="102"/>
      <c r="V105" s="74">
        <v>0</v>
      </c>
      <c r="W105" s="74">
        <f t="shared" si="21"/>
        <v>0</v>
      </c>
      <c r="X105" s="102"/>
      <c r="Y105" s="76"/>
      <c r="Z105" s="77"/>
      <c r="AA105" s="77"/>
    </row>
    <row r="106" spans="1:28" x14ac:dyDescent="0.25">
      <c r="C106" s="195" t="s">
        <v>299</v>
      </c>
      <c r="D106" s="236" t="s">
        <v>300</v>
      </c>
      <c r="E106" s="71"/>
      <c r="F106" s="72"/>
      <c r="G106" s="73"/>
      <c r="H106" s="72"/>
      <c r="I106" s="72"/>
      <c r="J106" s="72"/>
      <c r="K106" s="72">
        <f>'[4]2016_2025_092016'!H229</f>
        <v>30000.357599999988</v>
      </c>
      <c r="L106" s="72"/>
      <c r="M106" s="74">
        <f t="shared" si="30"/>
        <v>30000.357599999988</v>
      </c>
      <c r="N106" s="74"/>
      <c r="O106" s="102"/>
      <c r="P106" s="74">
        <v>30000.357599999988</v>
      </c>
      <c r="Q106" s="74">
        <f t="shared" si="19"/>
        <v>0</v>
      </c>
      <c r="R106" s="102"/>
      <c r="S106" s="74">
        <v>30000.357599999988</v>
      </c>
      <c r="T106" s="74">
        <f t="shared" si="20"/>
        <v>0</v>
      </c>
      <c r="U106" s="102"/>
      <c r="V106" s="74">
        <v>30000.357599999988</v>
      </c>
      <c r="W106" s="74">
        <f t="shared" si="21"/>
        <v>0</v>
      </c>
      <c r="X106" s="102"/>
      <c r="Y106" s="76"/>
      <c r="Z106" s="77">
        <f t="shared" si="22"/>
        <v>0</v>
      </c>
      <c r="AA106" s="77"/>
    </row>
    <row r="107" spans="1:28" ht="45" x14ac:dyDescent="0.25">
      <c r="C107" s="195" t="s">
        <v>301</v>
      </c>
      <c r="D107" s="237" t="s">
        <v>302</v>
      </c>
      <c r="E107" s="238"/>
      <c r="F107" s="239"/>
      <c r="G107" s="240"/>
      <c r="H107" s="239"/>
      <c r="I107" s="239"/>
      <c r="J107" s="239"/>
      <c r="K107" s="239">
        <f>'[4]2016_2025_092016'!H252</f>
        <v>105500</v>
      </c>
      <c r="L107" s="239"/>
      <c r="M107" s="74">
        <f t="shared" si="30"/>
        <v>105500</v>
      </c>
      <c r="N107" s="74">
        <f>M107-G107</f>
        <v>105500</v>
      </c>
      <c r="O107" s="241"/>
      <c r="P107" s="242">
        <v>105500</v>
      </c>
      <c r="Q107" s="74">
        <f t="shared" si="19"/>
        <v>0</v>
      </c>
      <c r="R107" s="241"/>
      <c r="S107" s="242">
        <v>105500</v>
      </c>
      <c r="T107" s="74">
        <f t="shared" si="20"/>
        <v>0</v>
      </c>
      <c r="U107" s="241"/>
      <c r="V107" s="242">
        <v>105500</v>
      </c>
      <c r="W107" s="74">
        <f t="shared" si="21"/>
        <v>0</v>
      </c>
      <c r="X107" s="241"/>
      <c r="Y107" s="243"/>
      <c r="Z107" s="244">
        <f t="shared" si="22"/>
        <v>0</v>
      </c>
      <c r="AA107" s="244"/>
    </row>
    <row r="108" spans="1:28" ht="30.75" thickBot="1" x14ac:dyDescent="0.3">
      <c r="C108" s="245" t="s">
        <v>303</v>
      </c>
      <c r="D108" s="246" t="s">
        <v>304</v>
      </c>
      <c r="E108" s="247"/>
      <c r="F108" s="248"/>
      <c r="G108" s="249"/>
      <c r="H108" s="248"/>
      <c r="I108" s="248"/>
      <c r="J108" s="248"/>
      <c r="K108" s="248"/>
      <c r="L108" s="248"/>
      <c r="M108" s="242"/>
      <c r="N108" s="242">
        <f>M108-G108</f>
        <v>0</v>
      </c>
      <c r="O108" s="250"/>
      <c r="P108" s="251"/>
      <c r="Q108" s="242">
        <f t="shared" si="19"/>
        <v>0</v>
      </c>
      <c r="R108" s="250"/>
      <c r="S108" s="251">
        <v>85000</v>
      </c>
      <c r="T108" s="242">
        <f t="shared" si="20"/>
        <v>85000</v>
      </c>
      <c r="U108" s="97" t="s">
        <v>305</v>
      </c>
      <c r="V108" s="251">
        <f>85000+55000</f>
        <v>140000</v>
      </c>
      <c r="W108" s="242">
        <f t="shared" si="21"/>
        <v>55000</v>
      </c>
      <c r="X108" s="97"/>
      <c r="Y108" s="252"/>
      <c r="Z108" s="253">
        <f t="shared" si="22"/>
        <v>0</v>
      </c>
      <c r="AA108" s="253"/>
    </row>
    <row r="109" spans="1:28" ht="15.75" thickBot="1" x14ac:dyDescent="0.3">
      <c r="C109" s="218"/>
      <c r="D109" s="219" t="s">
        <v>306</v>
      </c>
      <c r="E109" s="220">
        <f t="shared" ref="E109:M109" si="31">E92+E93+E96</f>
        <v>14818240.669982204</v>
      </c>
      <c r="F109" s="221">
        <f t="shared" si="31"/>
        <v>16133819.137012642</v>
      </c>
      <c r="G109" s="222">
        <f>G92+G93+G96</f>
        <v>17802225.180313069</v>
      </c>
      <c r="H109" s="221">
        <f t="shared" si="31"/>
        <v>135713.37</v>
      </c>
      <c r="I109" s="221">
        <f>I92+I93+I96</f>
        <v>2621381.1086800001</v>
      </c>
      <c r="J109" s="221">
        <f t="shared" si="31"/>
        <v>1967290.13</v>
      </c>
      <c r="K109" s="221">
        <f t="shared" si="31"/>
        <v>4961373.4875999996</v>
      </c>
      <c r="L109" s="221">
        <f t="shared" si="31"/>
        <v>13165971.657927698</v>
      </c>
      <c r="M109" s="223">
        <f t="shared" si="31"/>
        <v>22851729.754207697</v>
      </c>
      <c r="N109" s="223">
        <f t="shared" si="18"/>
        <v>5049504.5738946274</v>
      </c>
      <c r="O109" s="224">
        <f>N109/G109</f>
        <v>0.28364457379624197</v>
      </c>
      <c r="P109" s="223">
        <f>P92+P93+P96</f>
        <v>22904537.991707698</v>
      </c>
      <c r="Q109" s="223">
        <f t="shared" si="19"/>
        <v>52808.237500000745</v>
      </c>
      <c r="R109" s="224"/>
      <c r="S109" s="223">
        <f>S92+S93+S96</f>
        <v>22907154.6142077</v>
      </c>
      <c r="T109" s="223">
        <f t="shared" si="20"/>
        <v>2616.6225000023842</v>
      </c>
      <c r="U109" s="224"/>
      <c r="V109" s="223">
        <f>V92+V93+V96</f>
        <v>22948244.054207698</v>
      </c>
      <c r="W109" s="223">
        <f t="shared" si="21"/>
        <v>41089.439999997616</v>
      </c>
      <c r="X109" s="224"/>
      <c r="Y109" s="225">
        <f>Y92+Y93+Y96</f>
        <v>5151307</v>
      </c>
      <c r="Z109" s="226">
        <f t="shared" si="22"/>
        <v>0.22447499633661414</v>
      </c>
      <c r="AA109" s="226"/>
    </row>
    <row r="111" spans="1:28" x14ac:dyDescent="0.25">
      <c r="G111" s="255"/>
      <c r="M111" s="256"/>
      <c r="N111" s="257"/>
      <c r="P111" s="256"/>
      <c r="Q111" s="257"/>
      <c r="S111" s="256"/>
      <c r="T111" s="257"/>
      <c r="V111" s="256"/>
      <c r="W111" s="257"/>
    </row>
    <row r="112" spans="1:28" x14ac:dyDescent="0.25">
      <c r="C112" s="568"/>
      <c r="D112" s="568"/>
      <c r="E112" s="31"/>
      <c r="F112" s="258"/>
      <c r="G112" s="255"/>
      <c r="H112" s="34"/>
      <c r="I112" s="259"/>
      <c r="J112" s="259"/>
      <c r="K112" s="259"/>
      <c r="L112" s="34"/>
      <c r="M112" s="256"/>
      <c r="N112" s="257"/>
      <c r="P112" s="256"/>
      <c r="Q112" s="257"/>
      <c r="S112" s="256"/>
      <c r="T112" s="257"/>
      <c r="V112" s="256"/>
      <c r="W112" s="257"/>
      <c r="Y112" s="260"/>
    </row>
    <row r="113" spans="3:28" ht="19.5" thickBot="1" x14ac:dyDescent="0.35">
      <c r="C113" s="567" t="s">
        <v>307</v>
      </c>
      <c r="D113" s="567"/>
      <c r="E113" s="261"/>
      <c r="F113" s="262"/>
      <c r="G113" s="263"/>
      <c r="H113" s="264"/>
      <c r="I113" s="264"/>
      <c r="J113" s="264"/>
      <c r="K113" s="264"/>
      <c r="L113" s="264"/>
      <c r="M113" s="265"/>
      <c r="N113" s="265"/>
      <c r="P113" s="265"/>
      <c r="Q113" s="265"/>
      <c r="S113" s="265"/>
      <c r="T113" s="265"/>
      <c r="V113" s="265"/>
      <c r="W113" s="265"/>
      <c r="Y113" s="266"/>
    </row>
    <row r="114" spans="3:28" ht="43.5" outlineLevel="1" thickBot="1" x14ac:dyDescent="0.3">
      <c r="C114" s="39" t="s">
        <v>2</v>
      </c>
      <c r="D114" s="40" t="s">
        <v>3</v>
      </c>
      <c r="E114" s="41" t="s">
        <v>308</v>
      </c>
      <c r="F114" s="41" t="s">
        <v>309</v>
      </c>
      <c r="G114" s="42" t="s">
        <v>6</v>
      </c>
      <c r="H114" s="43" t="s">
        <v>310</v>
      </c>
      <c r="I114" s="43" t="s">
        <v>311</v>
      </c>
      <c r="J114" s="43" t="s">
        <v>9</v>
      </c>
      <c r="K114" s="43" t="s">
        <v>10</v>
      </c>
      <c r="L114" s="43" t="s">
        <v>312</v>
      </c>
      <c r="M114" s="44" t="s">
        <v>12</v>
      </c>
      <c r="N114" s="44" t="s">
        <v>13</v>
      </c>
      <c r="O114" s="45"/>
      <c r="P114" s="44" t="s">
        <v>14</v>
      </c>
      <c r="Q114" s="44" t="s">
        <v>15</v>
      </c>
      <c r="R114" s="45"/>
      <c r="S114" s="44" t="s">
        <v>17</v>
      </c>
      <c r="T114" s="44" t="s">
        <v>15</v>
      </c>
      <c r="U114" s="45"/>
      <c r="V114" s="44" t="s">
        <v>19</v>
      </c>
      <c r="W114" s="44" t="s">
        <v>20</v>
      </c>
      <c r="X114" s="45"/>
      <c r="Y114" s="47" t="s">
        <v>21</v>
      </c>
      <c r="Z114" s="48" t="s">
        <v>22</v>
      </c>
      <c r="AA114" s="48" t="s">
        <v>23</v>
      </c>
    </row>
    <row r="115" spans="3:28" x14ac:dyDescent="0.25">
      <c r="C115" s="267" t="s">
        <v>28</v>
      </c>
      <c r="D115" s="268" t="s">
        <v>313</v>
      </c>
      <c r="E115" s="269">
        <f>SUM(E116:E124)</f>
        <v>1866594.3261208059</v>
      </c>
      <c r="F115" s="270">
        <f>SUM(F116:F124)</f>
        <v>1966080.3392656627</v>
      </c>
      <c r="G115" s="271">
        <f>SUM(G116:G124)</f>
        <v>2698640.5</v>
      </c>
      <c r="H115" s="270">
        <f>SUM(H116:H124)</f>
        <v>0</v>
      </c>
      <c r="I115" s="270">
        <f>SUM(I116:I123)</f>
        <v>0</v>
      </c>
      <c r="J115" s="270">
        <f>SUM(J116:J123)</f>
        <v>0</v>
      </c>
      <c r="K115" s="270">
        <f>SUM(K116:K123)</f>
        <v>0</v>
      </c>
      <c r="L115" s="270">
        <f>SUM(L116:L124)</f>
        <v>2755579.333333333</v>
      </c>
      <c r="M115" s="272">
        <f>SUM(M116:M124)</f>
        <v>2755579.333333333</v>
      </c>
      <c r="N115" s="272">
        <f t="shared" ref="N115:N182" si="32">M115-G115</f>
        <v>56938.833333333023</v>
      </c>
      <c r="O115" s="273">
        <f t="shared" ref="O115:O134" si="33">N115/G115</f>
        <v>2.1099080567913001E-2</v>
      </c>
      <c r="P115" s="272">
        <f>SUM(P116:P124)</f>
        <v>2754967</v>
      </c>
      <c r="Q115" s="272">
        <f t="shared" ref="Q115:Q178" si="34">P115-M115</f>
        <v>-612.33333333302289</v>
      </c>
      <c r="R115" s="273"/>
      <c r="S115" s="272">
        <f>SUM(S116:S124)</f>
        <v>2756401</v>
      </c>
      <c r="T115" s="272">
        <f t="shared" ref="T115:T146" si="35">S115-P115</f>
        <v>1434</v>
      </c>
      <c r="U115" s="273"/>
      <c r="V115" s="272">
        <f>SUM(V116:V124)</f>
        <v>2755579</v>
      </c>
      <c r="W115" s="272">
        <f t="shared" ref="W115:W146" si="36">V115-S115</f>
        <v>-822</v>
      </c>
      <c r="X115" s="273"/>
      <c r="Y115" s="274">
        <f>SUM(Y116:Y124)</f>
        <v>541664</v>
      </c>
      <c r="Z115" s="275">
        <f t="shared" ref="Z115:Z178" si="37">Y115/V115</f>
        <v>0.19656994047349033</v>
      </c>
      <c r="AA115" s="275"/>
      <c r="AB115" s="276"/>
    </row>
    <row r="116" spans="3:28" ht="15.75" customHeight="1" x14ac:dyDescent="0.25">
      <c r="C116" s="277" t="s">
        <v>32</v>
      </c>
      <c r="D116" s="278" t="s">
        <v>314</v>
      </c>
      <c r="E116" s="186">
        <f>611870.450367386+2081*1.2359*4+10+2+1250+77200</f>
        <v>700620.08196738595</v>
      </c>
      <c r="F116" s="189">
        <f>708970+1500+(9488+3773)+1000+6000+2176*12*1.2359</f>
        <v>763002.82079999999</v>
      </c>
      <c r="G116" s="188">
        <f>800595-6092</f>
        <v>794503</v>
      </c>
      <c r="H116" s="187"/>
      <c r="I116" s="187"/>
      <c r="J116" s="187"/>
      <c r="K116" s="187"/>
      <c r="L116" s="187">
        <f>[4]Izmaksu_veidi!L60</f>
        <v>774213</v>
      </c>
      <c r="M116" s="189">
        <f>H116+I116+J116+K116+L116</f>
        <v>774213</v>
      </c>
      <c r="N116" s="189">
        <f t="shared" si="32"/>
        <v>-20290</v>
      </c>
      <c r="O116" s="279">
        <f t="shared" si="33"/>
        <v>-2.5537977830165526E-2</v>
      </c>
      <c r="P116" s="189">
        <v>774213</v>
      </c>
      <c r="Q116" s="189">
        <f t="shared" si="34"/>
        <v>0</v>
      </c>
      <c r="R116" s="279"/>
      <c r="S116" s="189">
        <v>774213</v>
      </c>
      <c r="T116" s="189">
        <f t="shared" si="35"/>
        <v>0</v>
      </c>
      <c r="U116" s="279"/>
      <c r="V116" s="189">
        <v>774213</v>
      </c>
      <c r="W116" s="189">
        <f t="shared" si="36"/>
        <v>0</v>
      </c>
      <c r="X116" s="279"/>
      <c r="Y116" s="191">
        <f>501241-Y123-Y124</f>
        <v>80828.31</v>
      </c>
      <c r="Z116" s="192">
        <f t="shared" si="37"/>
        <v>0.10440061068465654</v>
      </c>
      <c r="AA116" s="192"/>
      <c r="AB116" s="276"/>
    </row>
    <row r="117" spans="3:28" x14ac:dyDescent="0.25">
      <c r="C117" s="277" t="s">
        <v>35</v>
      </c>
      <c r="D117" s="278" t="s">
        <v>315</v>
      </c>
      <c r="E117" s="186">
        <f>107547.765806683+9180</f>
        <v>116727.765806683</v>
      </c>
      <c r="F117" s="189">
        <f>126570+650</f>
        <v>127220</v>
      </c>
      <c r="G117" s="188">
        <v>173423</v>
      </c>
      <c r="H117" s="187"/>
      <c r="I117" s="187"/>
      <c r="J117" s="187"/>
      <c r="K117" s="187"/>
      <c r="L117" s="187">
        <f>[4]Izmaksu_veidi!N60</f>
        <v>178328</v>
      </c>
      <c r="M117" s="189">
        <f t="shared" ref="M117:M124" si="38">H117+I117+J117+K117+L117</f>
        <v>178328</v>
      </c>
      <c r="N117" s="189">
        <f t="shared" si="32"/>
        <v>4905</v>
      </c>
      <c r="O117" s="190">
        <f t="shared" si="33"/>
        <v>2.8283445679062179E-2</v>
      </c>
      <c r="P117" s="189">
        <v>178328</v>
      </c>
      <c r="Q117" s="189">
        <f t="shared" si="34"/>
        <v>0</v>
      </c>
      <c r="R117" s="190"/>
      <c r="S117" s="189">
        <v>178328</v>
      </c>
      <c r="T117" s="189">
        <f t="shared" si="35"/>
        <v>0</v>
      </c>
      <c r="U117" s="190"/>
      <c r="V117" s="189">
        <v>178328</v>
      </c>
      <c r="W117" s="189">
        <f t="shared" si="36"/>
        <v>0</v>
      </c>
      <c r="X117" s="190"/>
      <c r="Y117" s="191">
        <v>26089</v>
      </c>
      <c r="Z117" s="192">
        <f t="shared" si="37"/>
        <v>0.14629783320622672</v>
      </c>
      <c r="AA117" s="192"/>
    </row>
    <row r="118" spans="3:28" x14ac:dyDescent="0.25">
      <c r="C118" s="277" t="s">
        <v>316</v>
      </c>
      <c r="D118" s="278" t="s">
        <v>317</v>
      </c>
      <c r="E118" s="186">
        <f>46328.7061542052+395</f>
        <v>46723.706154205203</v>
      </c>
      <c r="F118" s="189">
        <v>52995</v>
      </c>
      <c r="G118" s="188">
        <v>46180</v>
      </c>
      <c r="H118" s="187"/>
      <c r="I118" s="187"/>
      <c r="J118" s="187"/>
      <c r="K118" s="187"/>
      <c r="L118" s="187">
        <f>[4]Izmaksu_veidi!P60</f>
        <v>46879</v>
      </c>
      <c r="M118" s="189">
        <f t="shared" si="38"/>
        <v>46879</v>
      </c>
      <c r="N118" s="189">
        <f t="shared" si="32"/>
        <v>699</v>
      </c>
      <c r="O118" s="190">
        <f t="shared" si="33"/>
        <v>1.5136422693806844E-2</v>
      </c>
      <c r="P118" s="189">
        <v>46879</v>
      </c>
      <c r="Q118" s="189">
        <f t="shared" si="34"/>
        <v>0</v>
      </c>
      <c r="R118" s="190"/>
      <c r="S118" s="189">
        <v>46879</v>
      </c>
      <c r="T118" s="189">
        <f t="shared" si="35"/>
        <v>0</v>
      </c>
      <c r="U118" s="190"/>
      <c r="V118" s="189">
        <v>46879</v>
      </c>
      <c r="W118" s="189">
        <f t="shared" si="36"/>
        <v>0</v>
      </c>
      <c r="X118" s="190"/>
      <c r="Y118" s="191">
        <v>7378</v>
      </c>
      <c r="Z118" s="192">
        <f t="shared" si="37"/>
        <v>0.15738390324025683</v>
      </c>
      <c r="AA118" s="192"/>
    </row>
    <row r="119" spans="3:28" x14ac:dyDescent="0.25">
      <c r="C119" s="277" t="s">
        <v>318</v>
      </c>
      <c r="D119" s="278" t="s">
        <v>319</v>
      </c>
      <c r="E119" s="186">
        <v>27844.601334084611</v>
      </c>
      <c r="F119" s="189">
        <v>28030</v>
      </c>
      <c r="G119" s="188">
        <v>33470</v>
      </c>
      <c r="H119" s="187"/>
      <c r="I119" s="187"/>
      <c r="J119" s="187"/>
      <c r="K119" s="187"/>
      <c r="L119" s="187">
        <f>[4]Izmaksu_veidi!Q60</f>
        <v>34316</v>
      </c>
      <c r="M119" s="189">
        <f t="shared" si="38"/>
        <v>34316</v>
      </c>
      <c r="N119" s="189">
        <f t="shared" si="32"/>
        <v>846</v>
      </c>
      <c r="O119" s="190">
        <f t="shared" si="33"/>
        <v>2.5276366895727518E-2</v>
      </c>
      <c r="P119" s="189">
        <v>34316</v>
      </c>
      <c r="Q119" s="189">
        <f t="shared" si="34"/>
        <v>0</v>
      </c>
      <c r="R119" s="190"/>
      <c r="S119" s="189">
        <v>34316</v>
      </c>
      <c r="T119" s="189">
        <f t="shared" si="35"/>
        <v>0</v>
      </c>
      <c r="U119" s="190"/>
      <c r="V119" s="189">
        <v>34316</v>
      </c>
      <c r="W119" s="189">
        <f t="shared" si="36"/>
        <v>0</v>
      </c>
      <c r="X119" s="190"/>
      <c r="Y119" s="191">
        <v>4971</v>
      </c>
      <c r="Z119" s="192">
        <f t="shared" si="37"/>
        <v>0.14485954073901386</v>
      </c>
      <c r="AA119" s="192"/>
    </row>
    <row r="120" spans="3:28" ht="15.75" customHeight="1" x14ac:dyDescent="0.25">
      <c r="C120" s="277" t="s">
        <v>320</v>
      </c>
      <c r="D120" s="278" t="s">
        <v>321</v>
      </c>
      <c r="E120" s="186">
        <v>1600</v>
      </c>
      <c r="F120" s="189">
        <v>1600</v>
      </c>
      <c r="G120" s="188">
        <v>1600</v>
      </c>
      <c r="H120" s="187"/>
      <c r="I120" s="187"/>
      <c r="J120" s="187"/>
      <c r="K120" s="187"/>
      <c r="L120" s="187">
        <f>[4]Izmaksu_veidi!O60</f>
        <v>19609</v>
      </c>
      <c r="M120" s="189">
        <f t="shared" si="38"/>
        <v>19609</v>
      </c>
      <c r="N120" s="189">
        <f t="shared" si="32"/>
        <v>18009</v>
      </c>
      <c r="O120" s="190">
        <f t="shared" si="33"/>
        <v>11.255625</v>
      </c>
      <c r="P120" s="189">
        <v>19609</v>
      </c>
      <c r="Q120" s="189">
        <f t="shared" si="34"/>
        <v>0</v>
      </c>
      <c r="R120" s="190"/>
      <c r="S120" s="189">
        <v>19609</v>
      </c>
      <c r="T120" s="189">
        <f t="shared" si="35"/>
        <v>0</v>
      </c>
      <c r="U120" s="190"/>
      <c r="V120" s="189">
        <v>19609</v>
      </c>
      <c r="W120" s="189">
        <f t="shared" si="36"/>
        <v>0</v>
      </c>
      <c r="X120" s="190"/>
      <c r="Y120" s="191">
        <v>716</v>
      </c>
      <c r="Z120" s="192">
        <f t="shared" si="37"/>
        <v>3.6513845683104694E-2</v>
      </c>
      <c r="AA120" s="192" t="s">
        <v>322</v>
      </c>
    </row>
    <row r="121" spans="3:28" ht="18.75" customHeight="1" x14ac:dyDescent="0.25">
      <c r="C121" s="277" t="s">
        <v>323</v>
      </c>
      <c r="D121" s="278" t="s">
        <v>324</v>
      </c>
      <c r="E121" s="186">
        <v>7870</v>
      </c>
      <c r="F121" s="189">
        <v>9454</v>
      </c>
      <c r="G121" s="188">
        <v>7950</v>
      </c>
      <c r="H121" s="187"/>
      <c r="I121" s="187"/>
      <c r="J121" s="187"/>
      <c r="K121" s="187"/>
      <c r="L121" s="187">
        <f>[4]Izmaksu_veidi!R60</f>
        <v>7950</v>
      </c>
      <c r="M121" s="189">
        <f t="shared" si="38"/>
        <v>7950</v>
      </c>
      <c r="N121" s="189">
        <f t="shared" si="32"/>
        <v>0</v>
      </c>
      <c r="O121" s="190">
        <f t="shared" si="33"/>
        <v>0</v>
      </c>
      <c r="P121" s="189">
        <v>7950</v>
      </c>
      <c r="Q121" s="189">
        <f t="shared" si="34"/>
        <v>0</v>
      </c>
      <c r="R121" s="190"/>
      <c r="S121" s="189">
        <v>7950</v>
      </c>
      <c r="T121" s="189">
        <f t="shared" si="35"/>
        <v>0</v>
      </c>
      <c r="U121" s="190"/>
      <c r="V121" s="189">
        <v>7950</v>
      </c>
      <c r="W121" s="189">
        <f t="shared" si="36"/>
        <v>0</v>
      </c>
      <c r="X121" s="190"/>
      <c r="Y121" s="191">
        <v>0</v>
      </c>
      <c r="Z121" s="192">
        <f t="shared" si="37"/>
        <v>0</v>
      </c>
      <c r="AA121" s="192"/>
    </row>
    <row r="122" spans="3:28" ht="18.75" customHeight="1" x14ac:dyDescent="0.25">
      <c r="C122" s="277" t="s">
        <v>325</v>
      </c>
      <c r="D122" s="278" t="s">
        <v>326</v>
      </c>
      <c r="E122" s="186"/>
      <c r="F122" s="189">
        <f>9454-650</f>
        <v>8804</v>
      </c>
      <c r="G122" s="188">
        <v>4726.5</v>
      </c>
      <c r="H122" s="187"/>
      <c r="I122" s="187"/>
      <c r="J122" s="187"/>
      <c r="K122" s="187"/>
      <c r="L122" s="187">
        <f>[4]Izmaksu_veidi!S60</f>
        <v>4726</v>
      </c>
      <c r="M122" s="189">
        <f t="shared" si="38"/>
        <v>4726</v>
      </c>
      <c r="N122" s="189">
        <f t="shared" si="32"/>
        <v>-0.5</v>
      </c>
      <c r="O122" s="190">
        <f t="shared" si="33"/>
        <v>-1.0578652279699566E-4</v>
      </c>
      <c r="P122" s="189">
        <v>4726</v>
      </c>
      <c r="Q122" s="189">
        <f t="shared" si="34"/>
        <v>0</v>
      </c>
      <c r="R122" s="190"/>
      <c r="S122" s="189">
        <v>4726</v>
      </c>
      <c r="T122" s="189">
        <f t="shared" si="35"/>
        <v>0</v>
      </c>
      <c r="U122" s="190"/>
      <c r="V122" s="189">
        <v>4726</v>
      </c>
      <c r="W122" s="189">
        <f t="shared" si="36"/>
        <v>0</v>
      </c>
      <c r="X122" s="190"/>
      <c r="Y122" s="191">
        <v>1269</v>
      </c>
      <c r="Z122" s="192">
        <f t="shared" si="37"/>
        <v>0.26851460008463818</v>
      </c>
      <c r="AA122" s="192"/>
    </row>
    <row r="123" spans="3:28" ht="16.5" customHeight="1" x14ac:dyDescent="0.25">
      <c r="C123" s="277" t="s">
        <v>327</v>
      </c>
      <c r="D123" s="278" t="s">
        <v>328</v>
      </c>
      <c r="E123" s="186">
        <v>183980.17085844703</v>
      </c>
      <c r="F123" s="189">
        <v>150913</v>
      </c>
      <c r="G123" s="188">
        <v>33019</v>
      </c>
      <c r="H123" s="187"/>
      <c r="I123" s="187"/>
      <c r="J123" s="187"/>
      <c r="K123" s="187"/>
      <c r="L123" s="187">
        <f>[4]Izmaksu_veidi!M60</f>
        <v>48124.333333333336</v>
      </c>
      <c r="M123" s="189">
        <f t="shared" si="38"/>
        <v>48124.333333333336</v>
      </c>
      <c r="N123" s="189">
        <f t="shared" si="32"/>
        <v>15105.333333333336</v>
      </c>
      <c r="O123" s="280">
        <f t="shared" si="33"/>
        <v>0.4574739796278911</v>
      </c>
      <c r="P123" s="189">
        <v>47512</v>
      </c>
      <c r="Q123" s="189">
        <f t="shared" si="34"/>
        <v>-612.33333333333576</v>
      </c>
      <c r="R123" s="280"/>
      <c r="S123" s="189">
        <v>48946</v>
      </c>
      <c r="T123" s="189">
        <f t="shared" si="35"/>
        <v>1434</v>
      </c>
      <c r="U123" s="280" t="s">
        <v>329</v>
      </c>
      <c r="V123" s="189">
        <v>48124</v>
      </c>
      <c r="W123" s="189">
        <f t="shared" si="36"/>
        <v>-822</v>
      </c>
      <c r="X123" s="280" t="s">
        <v>330</v>
      </c>
      <c r="Y123" s="191">
        <v>173.69</v>
      </c>
      <c r="Z123" s="192">
        <f t="shared" si="37"/>
        <v>3.6092178538774831E-3</v>
      </c>
      <c r="AA123" s="193" t="s">
        <v>331</v>
      </c>
    </row>
    <row r="124" spans="3:28" x14ac:dyDescent="0.25">
      <c r="C124" s="277" t="s">
        <v>332</v>
      </c>
      <c r="D124" s="278" t="s">
        <v>333</v>
      </c>
      <c r="E124" s="186">
        <v>781228</v>
      </c>
      <c r="F124" s="189">
        <f>815831.518465663+8230</f>
        <v>824061.51846566296</v>
      </c>
      <c r="G124" s="188">
        <f>1597677+6092</f>
        <v>1603769</v>
      </c>
      <c r="H124" s="187"/>
      <c r="I124" s="187"/>
      <c r="J124" s="187"/>
      <c r="K124" s="187"/>
      <c r="L124" s="187">
        <f>[4]Izmaksu_veidi!BI60+6091</f>
        <v>1641434</v>
      </c>
      <c r="M124" s="189">
        <f t="shared" si="38"/>
        <v>1641434</v>
      </c>
      <c r="N124" s="189">
        <f t="shared" si="32"/>
        <v>37665</v>
      </c>
      <c r="O124" s="190">
        <f t="shared" si="33"/>
        <v>2.3485302434452841E-2</v>
      </c>
      <c r="P124" s="189">
        <v>1641434</v>
      </c>
      <c r="Q124" s="189">
        <f t="shared" si="34"/>
        <v>0</v>
      </c>
      <c r="R124" s="190"/>
      <c r="S124" s="189">
        <v>1641434</v>
      </c>
      <c r="T124" s="189">
        <f t="shared" si="35"/>
        <v>0</v>
      </c>
      <c r="U124" s="190"/>
      <c r="V124" s="189">
        <v>1641434</v>
      </c>
      <c r="W124" s="189">
        <f t="shared" si="36"/>
        <v>0</v>
      </c>
      <c r="X124" s="190"/>
      <c r="Y124" s="191">
        <v>420239</v>
      </c>
      <c r="Z124" s="192">
        <f t="shared" si="37"/>
        <v>0.25601943178952064</v>
      </c>
      <c r="AA124" s="192"/>
      <c r="AB124" s="276"/>
    </row>
    <row r="125" spans="3:28" s="123" customFormat="1" ht="18.75" hidden="1" customHeight="1" outlineLevel="1" x14ac:dyDescent="0.25">
      <c r="C125" s="68" t="s">
        <v>41</v>
      </c>
      <c r="D125" s="68" t="s">
        <v>333</v>
      </c>
      <c r="E125" s="126" t="e">
        <f>#REF!/#REF!</f>
        <v>#REF!</v>
      </c>
      <c r="F125" s="127" t="e">
        <f>#REF!/#REF!</f>
        <v>#REF!</v>
      </c>
      <c r="G125" s="128" t="e">
        <f>#REF!/#REF!</f>
        <v>#REF!</v>
      </c>
      <c r="H125" s="129" t="e">
        <f>#REF!/#REF!</f>
        <v>#REF!</v>
      </c>
      <c r="I125" s="129"/>
      <c r="J125" s="129"/>
      <c r="K125" s="129"/>
      <c r="L125" s="129" t="e">
        <f>#REF!/#REF!</f>
        <v>#REF!</v>
      </c>
      <c r="M125" s="130" t="e">
        <f>#REF!/#REF!</f>
        <v>#REF!</v>
      </c>
      <c r="N125" s="130" t="e">
        <f t="shared" si="32"/>
        <v>#REF!</v>
      </c>
      <c r="O125" s="131" t="e">
        <f t="shared" si="33"/>
        <v>#REF!</v>
      </c>
      <c r="P125" s="130" t="e">
        <f>#REF!/#REF!</f>
        <v>#REF!</v>
      </c>
      <c r="Q125" s="130" t="e">
        <f t="shared" si="34"/>
        <v>#REF!</v>
      </c>
      <c r="R125" s="131"/>
      <c r="S125" s="130" t="e">
        <f>#REF!/#REF!</f>
        <v>#REF!</v>
      </c>
      <c r="T125" s="130" t="e">
        <f t="shared" si="35"/>
        <v>#REF!</v>
      </c>
      <c r="U125" s="131"/>
      <c r="V125" s="130" t="e">
        <f>#REF!/#REF!</f>
        <v>#REF!</v>
      </c>
      <c r="W125" s="130" t="e">
        <f t="shared" si="36"/>
        <v>#REF!</v>
      </c>
      <c r="X125" s="131"/>
      <c r="Y125" s="132">
        <v>280557</v>
      </c>
      <c r="Z125" s="133" t="e">
        <f t="shared" si="37"/>
        <v>#REF!</v>
      </c>
      <c r="AA125" s="133"/>
      <c r="AB125" s="134"/>
    </row>
    <row r="126" spans="3:28" collapsed="1" x14ac:dyDescent="0.25">
      <c r="C126" s="281" t="s">
        <v>38</v>
      </c>
      <c r="D126" s="282" t="s">
        <v>334</v>
      </c>
      <c r="E126" s="82">
        <f t="shared" ref="E126:M126" si="39">E127</f>
        <v>261097.9772511255</v>
      </c>
      <c r="F126" s="85">
        <f t="shared" si="39"/>
        <v>250000</v>
      </c>
      <c r="G126" s="84">
        <f>G127</f>
        <v>90000</v>
      </c>
      <c r="H126" s="83">
        <f t="shared" si="39"/>
        <v>0</v>
      </c>
      <c r="I126" s="83">
        <f t="shared" si="39"/>
        <v>0</v>
      </c>
      <c r="J126" s="83">
        <f t="shared" si="39"/>
        <v>0</v>
      </c>
      <c r="K126" s="83">
        <f t="shared" si="39"/>
        <v>0</v>
      </c>
      <c r="L126" s="83">
        <f t="shared" si="39"/>
        <v>50000</v>
      </c>
      <c r="M126" s="85">
        <f t="shared" si="39"/>
        <v>50000</v>
      </c>
      <c r="N126" s="85">
        <f t="shared" si="32"/>
        <v>-40000</v>
      </c>
      <c r="O126" s="86">
        <f t="shared" si="33"/>
        <v>-0.44444444444444442</v>
      </c>
      <c r="P126" s="85">
        <f>P127</f>
        <v>50000</v>
      </c>
      <c r="Q126" s="85">
        <f t="shared" si="34"/>
        <v>0</v>
      </c>
      <c r="R126" s="86"/>
      <c r="S126" s="85">
        <f>S127</f>
        <v>50000</v>
      </c>
      <c r="T126" s="85">
        <f t="shared" si="35"/>
        <v>0</v>
      </c>
      <c r="U126" s="86"/>
      <c r="V126" s="85">
        <f>V127</f>
        <v>50000</v>
      </c>
      <c r="W126" s="85">
        <f t="shared" si="36"/>
        <v>0</v>
      </c>
      <c r="X126" s="86"/>
      <c r="Y126" s="87">
        <f>Y127</f>
        <v>0</v>
      </c>
      <c r="Z126" s="88">
        <f t="shared" si="37"/>
        <v>0</v>
      </c>
      <c r="AA126" s="88"/>
      <c r="AB126" s="276"/>
    </row>
    <row r="127" spans="3:28" x14ac:dyDescent="0.25">
      <c r="C127" s="277" t="s">
        <v>41</v>
      </c>
      <c r="D127" s="278" t="s">
        <v>335</v>
      </c>
      <c r="E127" s="186">
        <v>261097.9772511255</v>
      </c>
      <c r="F127" s="189">
        <v>250000</v>
      </c>
      <c r="G127" s="188">
        <v>90000</v>
      </c>
      <c r="H127" s="187"/>
      <c r="I127" s="187"/>
      <c r="J127" s="187"/>
      <c r="K127" s="187"/>
      <c r="L127" s="187">
        <f>[4]Izmaksu_veidi!V60</f>
        <v>50000</v>
      </c>
      <c r="M127" s="189">
        <f t="shared" ref="M127:M150" si="40">H127+I127+J127+K127+L127</f>
        <v>50000</v>
      </c>
      <c r="N127" s="189">
        <f t="shared" si="32"/>
        <v>-40000</v>
      </c>
      <c r="O127" s="190">
        <f t="shared" si="33"/>
        <v>-0.44444444444444442</v>
      </c>
      <c r="P127" s="189">
        <v>50000</v>
      </c>
      <c r="Q127" s="189">
        <f t="shared" si="34"/>
        <v>0</v>
      </c>
      <c r="R127" s="190"/>
      <c r="S127" s="189">
        <v>50000</v>
      </c>
      <c r="T127" s="189">
        <f t="shared" si="35"/>
        <v>0</v>
      </c>
      <c r="U127" s="190"/>
      <c r="V127" s="189">
        <v>50000</v>
      </c>
      <c r="W127" s="189">
        <f t="shared" si="36"/>
        <v>0</v>
      </c>
      <c r="X127" s="190"/>
      <c r="Y127" s="191"/>
      <c r="Z127" s="192">
        <f t="shared" si="37"/>
        <v>0</v>
      </c>
      <c r="AA127" s="192"/>
    </row>
    <row r="128" spans="3:28" ht="30.75" customHeight="1" collapsed="1" x14ac:dyDescent="0.25">
      <c r="C128" s="281" t="s">
        <v>47</v>
      </c>
      <c r="D128" s="282" t="s">
        <v>336</v>
      </c>
      <c r="E128" s="82">
        <f>337996.084256777+4552+31680</f>
        <v>374228.08425677702</v>
      </c>
      <c r="F128" s="85">
        <f>362720+2090+128+6863+7000</f>
        <v>378801</v>
      </c>
      <c r="G128" s="84">
        <v>352085</v>
      </c>
      <c r="H128" s="83"/>
      <c r="I128" s="83">
        <f>SUM(I129:I130)</f>
        <v>0</v>
      </c>
      <c r="J128" s="83">
        <f>SUM(J129:J130)</f>
        <v>0</v>
      </c>
      <c r="K128" s="83"/>
      <c r="L128" s="83">
        <f>[4]Izmaksu_veidi!T60</f>
        <v>357122</v>
      </c>
      <c r="M128" s="85">
        <f t="shared" si="40"/>
        <v>357122</v>
      </c>
      <c r="N128" s="85">
        <f t="shared" si="32"/>
        <v>5037</v>
      </c>
      <c r="O128" s="136">
        <f t="shared" si="33"/>
        <v>1.4306204467671158E-2</v>
      </c>
      <c r="P128" s="85">
        <v>357122</v>
      </c>
      <c r="Q128" s="85">
        <f t="shared" si="34"/>
        <v>0</v>
      </c>
      <c r="R128" s="136"/>
      <c r="S128" s="85">
        <v>357122</v>
      </c>
      <c r="T128" s="85">
        <f t="shared" si="35"/>
        <v>0</v>
      </c>
      <c r="U128" s="136"/>
      <c r="V128" s="85">
        <v>357122</v>
      </c>
      <c r="W128" s="85">
        <f t="shared" si="36"/>
        <v>0</v>
      </c>
      <c r="X128" s="136"/>
      <c r="Y128" s="87">
        <v>49180</v>
      </c>
      <c r="Z128" s="88">
        <f t="shared" si="37"/>
        <v>0.1377120423832752</v>
      </c>
      <c r="AA128" s="88"/>
      <c r="AB128" s="276"/>
    </row>
    <row r="129" spans="3:34" s="123" customFormat="1" ht="15" hidden="1" customHeight="1" outlineLevel="1" x14ac:dyDescent="0.25">
      <c r="C129" s="277" t="s">
        <v>58</v>
      </c>
      <c r="D129" s="278" t="s">
        <v>337</v>
      </c>
      <c r="E129" s="126"/>
      <c r="F129" s="127"/>
      <c r="G129" s="128">
        <f>F129</f>
        <v>0</v>
      </c>
      <c r="H129" s="129"/>
      <c r="I129" s="129"/>
      <c r="J129" s="129"/>
      <c r="K129" s="129"/>
      <c r="L129" s="129"/>
      <c r="M129" s="130">
        <f t="shared" si="40"/>
        <v>0</v>
      </c>
      <c r="N129" s="130">
        <f t="shared" si="32"/>
        <v>0</v>
      </c>
      <c r="O129" s="131" t="e">
        <f t="shared" si="33"/>
        <v>#DIV/0!</v>
      </c>
      <c r="P129" s="130">
        <v>0</v>
      </c>
      <c r="Q129" s="130">
        <f t="shared" si="34"/>
        <v>0</v>
      </c>
      <c r="R129" s="131"/>
      <c r="S129" s="130">
        <v>0</v>
      </c>
      <c r="T129" s="130">
        <f t="shared" si="35"/>
        <v>0</v>
      </c>
      <c r="U129" s="131"/>
      <c r="V129" s="130">
        <v>0</v>
      </c>
      <c r="W129" s="130">
        <f t="shared" si="36"/>
        <v>0</v>
      </c>
      <c r="X129" s="131"/>
      <c r="Y129" s="132"/>
      <c r="Z129" s="133" t="e">
        <f t="shared" si="37"/>
        <v>#DIV/0!</v>
      </c>
      <c r="AA129" s="133"/>
      <c r="AB129" s="134"/>
    </row>
    <row r="130" spans="3:34" s="123" customFormat="1" hidden="1" outlineLevel="1" x14ac:dyDescent="0.25">
      <c r="C130" s="277" t="s">
        <v>60</v>
      </c>
      <c r="D130" s="278" t="s">
        <v>338</v>
      </c>
      <c r="E130" s="126">
        <f>210235+450+3372+13000+5000+870</f>
        <v>232927</v>
      </c>
      <c r="F130" s="127">
        <f>210235+450+3372+13000+5000+870</f>
        <v>232927</v>
      </c>
      <c r="G130" s="128">
        <f>F130</f>
        <v>232927</v>
      </c>
      <c r="H130" s="129">
        <f>210235+450+3372+13000+5000+870</f>
        <v>232927</v>
      </c>
      <c r="I130" s="129"/>
      <c r="J130" s="129"/>
      <c r="K130" s="129"/>
      <c r="L130" s="129">
        <f>210235+450+3372+13000+5000+870</f>
        <v>232927</v>
      </c>
      <c r="M130" s="130">
        <f t="shared" si="40"/>
        <v>465854</v>
      </c>
      <c r="N130" s="130">
        <f t="shared" si="32"/>
        <v>232927</v>
      </c>
      <c r="O130" s="131">
        <f t="shared" si="33"/>
        <v>1</v>
      </c>
      <c r="P130" s="130">
        <v>465854</v>
      </c>
      <c r="Q130" s="130">
        <f t="shared" si="34"/>
        <v>0</v>
      </c>
      <c r="R130" s="131"/>
      <c r="S130" s="130">
        <v>465854</v>
      </c>
      <c r="T130" s="130">
        <f t="shared" si="35"/>
        <v>0</v>
      </c>
      <c r="U130" s="131"/>
      <c r="V130" s="130">
        <v>465854</v>
      </c>
      <c r="W130" s="130">
        <f t="shared" si="36"/>
        <v>0</v>
      </c>
      <c r="X130" s="131"/>
      <c r="Y130" s="132">
        <v>104226</v>
      </c>
      <c r="Z130" s="133">
        <f t="shared" si="37"/>
        <v>0.22373104019714332</v>
      </c>
      <c r="AA130" s="133"/>
      <c r="AB130" s="134"/>
    </row>
    <row r="131" spans="3:34" s="254" customFormat="1" collapsed="1" x14ac:dyDescent="0.25">
      <c r="C131" s="281" t="s">
        <v>55</v>
      </c>
      <c r="D131" s="282" t="s">
        <v>339</v>
      </c>
      <c r="E131" s="82">
        <f>48875.6466952379+1020</f>
        <v>49895.646695237898</v>
      </c>
      <c r="F131" s="85">
        <v>74585</v>
      </c>
      <c r="G131" s="84">
        <v>77000</v>
      </c>
      <c r="H131" s="83"/>
      <c r="I131" s="83"/>
      <c r="J131" s="83"/>
      <c r="K131" s="83"/>
      <c r="L131" s="83">
        <f>[4]Izmaksu_veidi!U60</f>
        <v>77629</v>
      </c>
      <c r="M131" s="85">
        <f t="shared" si="40"/>
        <v>77629</v>
      </c>
      <c r="N131" s="85">
        <f t="shared" si="32"/>
        <v>629</v>
      </c>
      <c r="O131" s="86">
        <f t="shared" si="33"/>
        <v>8.1688311688311692E-3</v>
      </c>
      <c r="P131" s="85">
        <v>77629</v>
      </c>
      <c r="Q131" s="85">
        <f t="shared" si="34"/>
        <v>0</v>
      </c>
      <c r="R131" s="86"/>
      <c r="S131" s="85">
        <v>77629</v>
      </c>
      <c r="T131" s="85">
        <f t="shared" si="35"/>
        <v>0</v>
      </c>
      <c r="U131" s="86"/>
      <c r="V131" s="85">
        <v>77629</v>
      </c>
      <c r="W131" s="85">
        <f t="shared" si="36"/>
        <v>0</v>
      </c>
      <c r="X131" s="86"/>
      <c r="Y131" s="87">
        <v>11924</v>
      </c>
      <c r="Z131" s="88">
        <f t="shared" si="37"/>
        <v>0.15360239085908617</v>
      </c>
      <c r="AA131" s="88"/>
      <c r="AB131" s="276"/>
    </row>
    <row r="132" spans="3:34" ht="29.25" x14ac:dyDescent="0.25">
      <c r="C132" s="281" t="s">
        <v>62</v>
      </c>
      <c r="D132" s="282" t="s">
        <v>340</v>
      </c>
      <c r="E132" s="82">
        <f>E133+E134+E147+E148+E149</f>
        <v>4996686.0404494079</v>
      </c>
      <c r="F132" s="83">
        <f>F133+F134+F147+F148+F149</f>
        <v>6115502.5099999998</v>
      </c>
      <c r="G132" s="84">
        <f t="shared" ref="G132:M132" si="41">G133+G134+G147</f>
        <v>3448754.2</v>
      </c>
      <c r="H132" s="83">
        <f t="shared" si="41"/>
        <v>0</v>
      </c>
      <c r="I132" s="83">
        <f t="shared" si="41"/>
        <v>0</v>
      </c>
      <c r="J132" s="83">
        <f t="shared" si="41"/>
        <v>1967290.13</v>
      </c>
      <c r="K132" s="83">
        <f t="shared" si="41"/>
        <v>3301444.2575999997</v>
      </c>
      <c r="L132" s="83">
        <f t="shared" si="41"/>
        <v>2629710.2371999999</v>
      </c>
      <c r="M132" s="85">
        <f t="shared" si="41"/>
        <v>7898444.6247999985</v>
      </c>
      <c r="N132" s="85">
        <f t="shared" si="32"/>
        <v>4449690.4247999983</v>
      </c>
      <c r="O132" s="86">
        <f t="shared" si="33"/>
        <v>1.2902312448941702</v>
      </c>
      <c r="P132" s="85">
        <f>P133+P134+P147</f>
        <v>7930011.1725999992</v>
      </c>
      <c r="Q132" s="85">
        <f t="shared" si="34"/>
        <v>31566.547800000757</v>
      </c>
      <c r="R132" s="86"/>
      <c r="S132" s="85">
        <f>S133+S134+S147</f>
        <v>7930011.1725999992</v>
      </c>
      <c r="T132" s="85">
        <f t="shared" si="35"/>
        <v>0</v>
      </c>
      <c r="U132" s="86"/>
      <c r="V132" s="85">
        <f>V133+V134+V147</f>
        <v>7909840.6125999987</v>
      </c>
      <c r="W132" s="85">
        <f t="shared" si="36"/>
        <v>-20170.560000000522</v>
      </c>
      <c r="X132" s="86"/>
      <c r="Y132" s="87">
        <f>Y133+Y134+Y147</f>
        <v>358944</v>
      </c>
      <c r="Z132" s="88">
        <f t="shared" si="37"/>
        <v>4.5379422617975299E-2</v>
      </c>
      <c r="AA132" s="88" t="s">
        <v>341</v>
      </c>
      <c r="AB132" s="276"/>
    </row>
    <row r="133" spans="3:34" ht="36" customHeight="1" x14ac:dyDescent="0.25">
      <c r="C133" s="277" t="s">
        <v>342</v>
      </c>
      <c r="D133" s="283" t="s">
        <v>343</v>
      </c>
      <c r="E133" s="284">
        <f>220175.183977325+17333</f>
        <v>237508.18397732501</v>
      </c>
      <c r="F133" s="284">
        <v>213895</v>
      </c>
      <c r="G133" s="285">
        <v>207356</v>
      </c>
      <c r="H133" s="286"/>
      <c r="I133" s="286"/>
      <c r="J133" s="286"/>
      <c r="K133" s="286"/>
      <c r="L133" s="286">
        <f>[4]Izmaksu_veidi!W60</f>
        <v>205327</v>
      </c>
      <c r="M133" s="287">
        <f t="shared" si="40"/>
        <v>205327</v>
      </c>
      <c r="N133" s="287">
        <f t="shared" si="32"/>
        <v>-2029</v>
      </c>
      <c r="O133" s="288">
        <f t="shared" si="33"/>
        <v>-9.7851038793186594E-3</v>
      </c>
      <c r="P133" s="287">
        <f>205327+1450</f>
        <v>206777</v>
      </c>
      <c r="Q133" s="287">
        <f t="shared" si="34"/>
        <v>1450</v>
      </c>
      <c r="R133" s="288" t="s">
        <v>344</v>
      </c>
      <c r="S133" s="287">
        <f>205327+1450</f>
        <v>206777</v>
      </c>
      <c r="T133" s="287">
        <f t="shared" si="35"/>
        <v>0</v>
      </c>
      <c r="U133" s="288"/>
      <c r="V133" s="287">
        <f>205327+1450</f>
        <v>206777</v>
      </c>
      <c r="W133" s="287">
        <f t="shared" si="36"/>
        <v>0</v>
      </c>
      <c r="X133" s="288"/>
      <c r="Y133" s="289">
        <v>25646</v>
      </c>
      <c r="Z133" s="290">
        <f t="shared" si="37"/>
        <v>0.12402733379437751</v>
      </c>
      <c r="AA133" s="193" t="s">
        <v>345</v>
      </c>
      <c r="AB133" s="276"/>
    </row>
    <row r="134" spans="3:34" x14ac:dyDescent="0.25">
      <c r="C134" s="277" t="s">
        <v>346</v>
      </c>
      <c r="D134" s="283" t="s">
        <v>347</v>
      </c>
      <c r="E134" s="284">
        <f>E135+E137+E139+E140+E141</f>
        <v>1551635.1505455296</v>
      </c>
      <c r="F134" s="284">
        <f>F135+F137+F139+F140+F141</f>
        <v>1149739.51</v>
      </c>
      <c r="G134" s="285">
        <f t="shared" ref="G134:M134" si="42">G135+G136+G142+G143+G144+G145+G146</f>
        <v>456726</v>
      </c>
      <c r="H134" s="286">
        <f t="shared" si="42"/>
        <v>0</v>
      </c>
      <c r="I134" s="286">
        <f t="shared" si="42"/>
        <v>0</v>
      </c>
      <c r="J134" s="286">
        <f t="shared" si="42"/>
        <v>1757290.13</v>
      </c>
      <c r="K134" s="286">
        <f t="shared" si="42"/>
        <v>876859.9</v>
      </c>
      <c r="L134" s="286">
        <f t="shared" si="42"/>
        <v>360766</v>
      </c>
      <c r="M134" s="287">
        <f t="shared" si="42"/>
        <v>2994916.03</v>
      </c>
      <c r="N134" s="287">
        <f t="shared" si="32"/>
        <v>2538190.0299999998</v>
      </c>
      <c r="O134" s="291">
        <f t="shared" si="33"/>
        <v>5.5573583067309498</v>
      </c>
      <c r="P134" s="287">
        <f>P135+P136+P142+P143+P144+P145+P146</f>
        <v>3025032.59</v>
      </c>
      <c r="Q134" s="287">
        <f t="shared" si="34"/>
        <v>30116.560000000056</v>
      </c>
      <c r="R134" s="291"/>
      <c r="S134" s="287">
        <f>S135+S136+S142+S143+S144+S145+S146</f>
        <v>3025032.59</v>
      </c>
      <c r="T134" s="287">
        <f t="shared" si="35"/>
        <v>0</v>
      </c>
      <c r="U134" s="291"/>
      <c r="V134" s="287">
        <f>V135+V136+V142+V143+V144+V145+V146</f>
        <v>2994916.03</v>
      </c>
      <c r="W134" s="287">
        <f t="shared" si="36"/>
        <v>-30116.560000000056</v>
      </c>
      <c r="X134" s="291"/>
      <c r="Y134" s="289">
        <f>Y135+Y136+Y142+Y143+Y144+Y145+Y146</f>
        <v>29938</v>
      </c>
      <c r="Z134" s="290">
        <f t="shared" si="37"/>
        <v>9.9962735850059881E-3</v>
      </c>
      <c r="AA134" s="290"/>
    </row>
    <row r="135" spans="3:34" ht="31.5" customHeight="1" x14ac:dyDescent="0.25">
      <c r="C135" s="292" t="s">
        <v>348</v>
      </c>
      <c r="D135" s="236" t="s">
        <v>349</v>
      </c>
      <c r="E135" s="89">
        <f>246327.567856757+32504+19256+20000-1746+3608+9953</f>
        <v>329902.56785675697</v>
      </c>
      <c r="F135" s="92">
        <f>371740-600+20500+4016+4000+790+7500+21435</f>
        <v>429381</v>
      </c>
      <c r="G135" s="91">
        <v>400397</v>
      </c>
      <c r="H135" s="90"/>
      <c r="I135" s="90"/>
      <c r="J135" s="90">
        <f>J69</f>
        <v>13120</v>
      </c>
      <c r="K135" s="90"/>
      <c r="L135" s="90">
        <f>[4]Izmaksu_veidi!X60-J135</f>
        <v>316535</v>
      </c>
      <c r="M135" s="92">
        <f t="shared" si="40"/>
        <v>329655</v>
      </c>
      <c r="N135" s="92">
        <f t="shared" si="32"/>
        <v>-70742</v>
      </c>
      <c r="O135" s="97"/>
      <c r="P135" s="92">
        <v>329655</v>
      </c>
      <c r="Q135" s="92">
        <f t="shared" si="34"/>
        <v>0</v>
      </c>
      <c r="R135" s="97"/>
      <c r="S135" s="92">
        <v>329655</v>
      </c>
      <c r="T135" s="92">
        <f t="shared" si="35"/>
        <v>0</v>
      </c>
      <c r="U135" s="97"/>
      <c r="V135" s="92">
        <v>329655</v>
      </c>
      <c r="W135" s="92">
        <f t="shared" si="36"/>
        <v>0</v>
      </c>
      <c r="X135" s="97"/>
      <c r="Y135" s="94">
        <v>29182</v>
      </c>
      <c r="Z135" s="95">
        <f t="shared" si="37"/>
        <v>8.8522849645841867E-2</v>
      </c>
      <c r="AA135" s="293"/>
      <c r="AB135" s="276"/>
    </row>
    <row r="136" spans="3:34" x14ac:dyDescent="0.25">
      <c r="C136" s="292" t="s">
        <v>350</v>
      </c>
      <c r="D136" s="236" t="s">
        <v>284</v>
      </c>
      <c r="E136" s="294"/>
      <c r="F136" s="92"/>
      <c r="G136" s="91">
        <v>9000</v>
      </c>
      <c r="H136" s="90"/>
      <c r="I136" s="90"/>
      <c r="J136" s="90"/>
      <c r="K136" s="90"/>
      <c r="L136" s="90">
        <f>'[4]2016_2025_092016'!H106</f>
        <v>36000</v>
      </c>
      <c r="M136" s="92">
        <f t="shared" si="40"/>
        <v>36000</v>
      </c>
      <c r="N136" s="92">
        <f t="shared" si="32"/>
        <v>27000</v>
      </c>
      <c r="O136" s="93"/>
      <c r="P136" s="92">
        <v>36000</v>
      </c>
      <c r="Q136" s="92">
        <f t="shared" si="34"/>
        <v>0</v>
      </c>
      <c r="R136" s="93"/>
      <c r="S136" s="92">
        <v>36000</v>
      </c>
      <c r="T136" s="92">
        <f t="shared" si="35"/>
        <v>0</v>
      </c>
      <c r="U136" s="93"/>
      <c r="V136" s="92">
        <v>36000</v>
      </c>
      <c r="W136" s="92">
        <f t="shared" si="36"/>
        <v>0</v>
      </c>
      <c r="X136" s="295"/>
      <c r="Y136" s="94">
        <v>0</v>
      </c>
      <c r="Z136" s="95">
        <f t="shared" si="37"/>
        <v>0</v>
      </c>
      <c r="AA136" s="293" t="s">
        <v>351</v>
      </c>
      <c r="AB136" s="296"/>
      <c r="AC136" s="256"/>
      <c r="AD136" s="256"/>
    </row>
    <row r="137" spans="3:34" s="169" customFormat="1" ht="21" hidden="1" customHeight="1" outlineLevel="3" thickBot="1" x14ac:dyDescent="0.3">
      <c r="C137" s="297"/>
      <c r="D137" s="298" t="s">
        <v>352</v>
      </c>
      <c r="E137" s="299">
        <v>14228.718106328364</v>
      </c>
      <c r="F137" s="175">
        <f>150000-7500</f>
        <v>142500</v>
      </c>
      <c r="G137" s="174">
        <v>0</v>
      </c>
      <c r="H137" s="173"/>
      <c r="I137" s="173"/>
      <c r="J137" s="173"/>
      <c r="K137" s="173"/>
      <c r="L137" s="173">
        <v>0</v>
      </c>
      <c r="M137" s="175">
        <f t="shared" si="40"/>
        <v>0</v>
      </c>
      <c r="N137" s="175">
        <f t="shared" si="32"/>
        <v>0</v>
      </c>
      <c r="O137" s="300"/>
      <c r="P137" s="175">
        <v>0</v>
      </c>
      <c r="Q137" s="175">
        <f t="shared" si="34"/>
        <v>0</v>
      </c>
      <c r="R137" s="300"/>
      <c r="S137" s="175">
        <v>0</v>
      </c>
      <c r="T137" s="175">
        <f t="shared" si="35"/>
        <v>0</v>
      </c>
      <c r="U137" s="300"/>
      <c r="V137" s="175">
        <v>0</v>
      </c>
      <c r="W137" s="175">
        <f t="shared" si="36"/>
        <v>0</v>
      </c>
      <c r="X137" s="301"/>
      <c r="Y137" s="177">
        <v>0</v>
      </c>
      <c r="Z137" s="178" t="e">
        <f t="shared" si="37"/>
        <v>#DIV/0!</v>
      </c>
      <c r="AA137" s="302"/>
      <c r="AB137" s="179"/>
    </row>
    <row r="138" spans="3:34" s="309" customFormat="1" ht="19.5" hidden="1" customHeight="1" outlineLevel="1" x14ac:dyDescent="0.25">
      <c r="C138" s="297" t="s">
        <v>353</v>
      </c>
      <c r="D138" s="298" t="s">
        <v>354</v>
      </c>
      <c r="E138" s="303"/>
      <c r="F138" s="175"/>
      <c r="G138" s="174"/>
      <c r="H138" s="304"/>
      <c r="I138" s="305"/>
      <c r="J138" s="305"/>
      <c r="K138" s="305"/>
      <c r="L138" s="173"/>
      <c r="M138" s="175">
        <f t="shared" si="40"/>
        <v>0</v>
      </c>
      <c r="N138" s="175">
        <f t="shared" si="32"/>
        <v>0</v>
      </c>
      <c r="O138" s="300"/>
      <c r="P138" s="175">
        <v>0</v>
      </c>
      <c r="Q138" s="175">
        <f t="shared" si="34"/>
        <v>0</v>
      </c>
      <c r="R138" s="300"/>
      <c r="S138" s="175">
        <v>0</v>
      </c>
      <c r="T138" s="175">
        <f t="shared" si="35"/>
        <v>0</v>
      </c>
      <c r="U138" s="300"/>
      <c r="V138" s="175">
        <v>0</v>
      </c>
      <c r="W138" s="175">
        <f t="shared" si="36"/>
        <v>0</v>
      </c>
      <c r="X138" s="301"/>
      <c r="Y138" s="177">
        <v>22956</v>
      </c>
      <c r="Z138" s="178" t="e">
        <f t="shared" si="37"/>
        <v>#DIV/0!</v>
      </c>
      <c r="AA138" s="302"/>
      <c r="AB138" s="306"/>
      <c r="AC138" s="307"/>
      <c r="AD138" s="307"/>
      <c r="AE138" s="307"/>
      <c r="AF138" s="307"/>
      <c r="AG138" s="307"/>
      <c r="AH138" s="308"/>
    </row>
    <row r="139" spans="3:34" s="169" customFormat="1" ht="45.75" hidden="1" customHeight="1" outlineLevel="1" x14ac:dyDescent="0.25">
      <c r="C139" s="310"/>
      <c r="D139" s="311" t="s">
        <v>355</v>
      </c>
      <c r="E139" s="312">
        <v>426861.54318985093</v>
      </c>
      <c r="F139" s="175">
        <f>500000-140000</f>
        <v>360000</v>
      </c>
      <c r="G139" s="174">
        <v>0</v>
      </c>
      <c r="H139" s="304"/>
      <c r="I139" s="305"/>
      <c r="J139" s="305"/>
      <c r="K139" s="305"/>
      <c r="L139" s="173">
        <v>0</v>
      </c>
      <c r="M139" s="175">
        <f t="shared" si="40"/>
        <v>0</v>
      </c>
      <c r="N139" s="175">
        <f t="shared" si="32"/>
        <v>0</v>
      </c>
      <c r="O139" s="300"/>
      <c r="P139" s="175">
        <v>0</v>
      </c>
      <c r="Q139" s="175">
        <f t="shared" si="34"/>
        <v>0</v>
      </c>
      <c r="R139" s="300"/>
      <c r="S139" s="175">
        <v>0</v>
      </c>
      <c r="T139" s="175">
        <f t="shared" si="35"/>
        <v>0</v>
      </c>
      <c r="U139" s="300"/>
      <c r="V139" s="175">
        <v>0</v>
      </c>
      <c r="W139" s="175">
        <f t="shared" si="36"/>
        <v>0</v>
      </c>
      <c r="X139" s="301"/>
      <c r="Y139" s="177">
        <v>0</v>
      </c>
      <c r="Z139" s="178" t="e">
        <f t="shared" si="37"/>
        <v>#DIV/0!</v>
      </c>
      <c r="AA139" s="302" t="s">
        <v>356</v>
      </c>
      <c r="AB139" s="313"/>
      <c r="AC139" s="314"/>
      <c r="AD139" s="314"/>
      <c r="AE139" s="314"/>
      <c r="AF139" s="314"/>
      <c r="AG139" s="314"/>
      <c r="AH139" s="315"/>
    </row>
    <row r="140" spans="3:34" s="169" customFormat="1" ht="17.25" hidden="1" customHeight="1" outlineLevel="1" x14ac:dyDescent="0.25">
      <c r="C140" s="297"/>
      <c r="D140" s="316" t="s">
        <v>357</v>
      </c>
      <c r="E140" s="172">
        <f>71143.5905316418+42065+1746</f>
        <v>114954.59053164181</v>
      </c>
      <c r="F140" s="175">
        <v>0</v>
      </c>
      <c r="G140" s="174">
        <v>0</v>
      </c>
      <c r="H140" s="173"/>
      <c r="I140" s="317"/>
      <c r="J140" s="317"/>
      <c r="K140" s="317"/>
      <c r="L140" s="173">
        <v>0</v>
      </c>
      <c r="M140" s="175">
        <f t="shared" si="40"/>
        <v>0</v>
      </c>
      <c r="N140" s="175">
        <f t="shared" si="32"/>
        <v>0</v>
      </c>
      <c r="O140" s="176"/>
      <c r="P140" s="175">
        <v>0</v>
      </c>
      <c r="Q140" s="175">
        <f t="shared" si="34"/>
        <v>0</v>
      </c>
      <c r="R140" s="176"/>
      <c r="S140" s="175">
        <v>0</v>
      </c>
      <c r="T140" s="175">
        <f t="shared" si="35"/>
        <v>0</v>
      </c>
      <c r="U140" s="176"/>
      <c r="V140" s="175">
        <v>0</v>
      </c>
      <c r="W140" s="175">
        <f t="shared" si="36"/>
        <v>0</v>
      </c>
      <c r="X140" s="318"/>
      <c r="Y140" s="177">
        <v>0</v>
      </c>
      <c r="Z140" s="178" t="e">
        <f t="shared" si="37"/>
        <v>#DIV/0!</v>
      </c>
      <c r="AA140" s="178"/>
      <c r="AB140" s="313"/>
      <c r="AC140" s="314"/>
      <c r="AD140" s="314"/>
      <c r="AE140" s="314"/>
      <c r="AF140" s="314"/>
      <c r="AG140" s="314"/>
      <c r="AH140" s="315"/>
    </row>
    <row r="141" spans="3:34" s="169" customFormat="1" ht="16.5" hidden="1" customHeight="1" outlineLevel="1" thickBot="1" x14ac:dyDescent="0.3">
      <c r="C141" s="297"/>
      <c r="D141" s="216" t="s">
        <v>358</v>
      </c>
      <c r="E141" s="172">
        <v>665687.73086095124</v>
      </c>
      <c r="F141" s="175">
        <v>217858.51</v>
      </c>
      <c r="G141" s="174">
        <v>0</v>
      </c>
      <c r="H141" s="173"/>
      <c r="I141" s="319"/>
      <c r="J141" s="173"/>
      <c r="K141" s="173"/>
      <c r="L141" s="173">
        <v>0</v>
      </c>
      <c r="M141" s="175">
        <f t="shared" si="40"/>
        <v>0</v>
      </c>
      <c r="N141" s="175">
        <f t="shared" si="32"/>
        <v>0</v>
      </c>
      <c r="O141" s="300"/>
      <c r="P141" s="175">
        <v>0</v>
      </c>
      <c r="Q141" s="175">
        <f t="shared" si="34"/>
        <v>0</v>
      </c>
      <c r="R141" s="300"/>
      <c r="S141" s="175">
        <v>0</v>
      </c>
      <c r="T141" s="175">
        <f t="shared" si="35"/>
        <v>0</v>
      </c>
      <c r="U141" s="300"/>
      <c r="V141" s="175">
        <v>0</v>
      </c>
      <c r="W141" s="175">
        <f t="shared" si="36"/>
        <v>0</v>
      </c>
      <c r="X141" s="301"/>
      <c r="Y141" s="177">
        <v>0</v>
      </c>
      <c r="Z141" s="178" t="e">
        <f t="shared" si="37"/>
        <v>#DIV/0!</v>
      </c>
      <c r="AA141" s="178"/>
      <c r="AB141" s="320"/>
      <c r="AC141" s="321"/>
      <c r="AD141" s="321"/>
      <c r="AE141" s="321"/>
      <c r="AF141" s="321"/>
      <c r="AG141" s="321"/>
      <c r="AH141" s="322"/>
    </row>
    <row r="142" spans="3:34" ht="72.75" customHeight="1" collapsed="1" x14ac:dyDescent="0.25">
      <c r="C142" s="292" t="s">
        <v>359</v>
      </c>
      <c r="D142" s="202" t="s">
        <v>360</v>
      </c>
      <c r="E142" s="89"/>
      <c r="F142" s="92"/>
      <c r="G142" s="91">
        <v>47329</v>
      </c>
      <c r="H142" s="90"/>
      <c r="I142" s="205"/>
      <c r="J142" s="90">
        <f>J71</f>
        <v>1700900</v>
      </c>
      <c r="K142" s="90">
        <f>K102</f>
        <v>814060.02</v>
      </c>
      <c r="L142" s="90">
        <f>'[4]2016_2025_092016'!H158-J142-K142</f>
        <v>0</v>
      </c>
      <c r="M142" s="92">
        <f t="shared" si="40"/>
        <v>2514960.02</v>
      </c>
      <c r="N142" s="92">
        <f t="shared" si="32"/>
        <v>2467631.02</v>
      </c>
      <c r="O142" s="323"/>
      <c r="P142" s="92">
        <v>2514960.02</v>
      </c>
      <c r="Q142" s="92">
        <f t="shared" si="34"/>
        <v>0</v>
      </c>
      <c r="R142" s="323"/>
      <c r="S142" s="92">
        <v>2514960.02</v>
      </c>
      <c r="T142" s="92">
        <f t="shared" si="35"/>
        <v>0</v>
      </c>
      <c r="U142" s="323"/>
      <c r="V142" s="92">
        <v>2514960.02</v>
      </c>
      <c r="W142" s="92">
        <f t="shared" si="36"/>
        <v>0</v>
      </c>
      <c r="X142" s="324"/>
      <c r="Y142" s="325">
        <v>0</v>
      </c>
      <c r="Z142" s="95">
        <f t="shared" si="37"/>
        <v>0</v>
      </c>
      <c r="AA142" s="293" t="s">
        <v>361</v>
      </c>
      <c r="AB142" s="326"/>
      <c r="AD142" s="29"/>
    </row>
    <row r="143" spans="3:34" ht="31.5" customHeight="1" x14ac:dyDescent="0.25">
      <c r="C143" s="292" t="s">
        <v>353</v>
      </c>
      <c r="D143" s="202" t="s">
        <v>362</v>
      </c>
      <c r="E143" s="89"/>
      <c r="F143" s="92"/>
      <c r="G143" s="91"/>
      <c r="H143" s="90"/>
      <c r="I143" s="205"/>
      <c r="J143" s="90"/>
      <c r="K143" s="90">
        <f>K103</f>
        <v>41866.879999999997</v>
      </c>
      <c r="L143" s="90">
        <f>'[4]2016_2025_092016'!H171-K143</f>
        <v>0</v>
      </c>
      <c r="M143" s="92">
        <f t="shared" si="40"/>
        <v>41866.879999999997</v>
      </c>
      <c r="N143" s="92">
        <f t="shared" si="32"/>
        <v>41866.879999999997</v>
      </c>
      <c r="O143" s="327"/>
      <c r="P143" s="92">
        <v>41866.879999999997</v>
      </c>
      <c r="Q143" s="92">
        <f t="shared" si="34"/>
        <v>0</v>
      </c>
      <c r="R143" s="327"/>
      <c r="S143" s="92">
        <v>41866.879999999997</v>
      </c>
      <c r="T143" s="92">
        <f t="shared" si="35"/>
        <v>0</v>
      </c>
      <c r="U143" s="327"/>
      <c r="V143" s="92">
        <v>41866.879999999997</v>
      </c>
      <c r="W143" s="92">
        <f t="shared" si="36"/>
        <v>0</v>
      </c>
      <c r="X143" s="295"/>
      <c r="Y143" s="325">
        <v>0</v>
      </c>
      <c r="Z143" s="95">
        <f t="shared" si="37"/>
        <v>0</v>
      </c>
      <c r="AA143" s="95"/>
    </row>
    <row r="144" spans="3:34" ht="75.75" customHeight="1" x14ac:dyDescent="0.25">
      <c r="C144" s="292" t="s">
        <v>363</v>
      </c>
      <c r="D144" s="202" t="s">
        <v>294</v>
      </c>
      <c r="E144" s="89"/>
      <c r="F144" s="92"/>
      <c r="G144" s="91"/>
      <c r="H144" s="90"/>
      <c r="I144" s="205"/>
      <c r="J144" s="90">
        <f>J72</f>
        <v>0</v>
      </c>
      <c r="K144" s="90">
        <f>K104</f>
        <v>20933</v>
      </c>
      <c r="L144" s="90">
        <f>'[4]2016_2025_092016'!H197-J144-K144</f>
        <v>6067</v>
      </c>
      <c r="M144" s="92">
        <f t="shared" si="40"/>
        <v>27000</v>
      </c>
      <c r="N144" s="92">
        <f t="shared" si="32"/>
        <v>27000</v>
      </c>
      <c r="O144" s="327"/>
      <c r="P144" s="92">
        <v>57116.56</v>
      </c>
      <c r="Q144" s="92">
        <f t="shared" si="34"/>
        <v>30116.559999999998</v>
      </c>
      <c r="R144" s="327"/>
      <c r="S144" s="92">
        <v>57116.56</v>
      </c>
      <c r="T144" s="92">
        <f t="shared" si="35"/>
        <v>0</v>
      </c>
      <c r="U144" s="327"/>
      <c r="V144" s="92">
        <v>27000</v>
      </c>
      <c r="W144" s="92">
        <f t="shared" si="36"/>
        <v>-30116.559999999998</v>
      </c>
      <c r="X144" s="295" t="s">
        <v>212</v>
      </c>
      <c r="Y144" s="325">
        <v>381</v>
      </c>
      <c r="Z144" s="95">
        <f t="shared" si="37"/>
        <v>1.4111111111111111E-2</v>
      </c>
      <c r="AA144" s="293" t="s">
        <v>364</v>
      </c>
    </row>
    <row r="145" spans="3:29" ht="15" customHeight="1" x14ac:dyDescent="0.25">
      <c r="C145" s="292" t="s">
        <v>365</v>
      </c>
      <c r="D145" s="202" t="s">
        <v>298</v>
      </c>
      <c r="E145" s="89"/>
      <c r="F145" s="92"/>
      <c r="G145" s="91"/>
      <c r="H145" s="90"/>
      <c r="I145" s="205"/>
      <c r="J145" s="90">
        <f>J73</f>
        <v>0</v>
      </c>
      <c r="K145" s="90">
        <f>K105</f>
        <v>0</v>
      </c>
      <c r="L145" s="90">
        <f>'[4]2016_2025_092016'!H213-J145-K145</f>
        <v>0</v>
      </c>
      <c r="M145" s="92">
        <f t="shared" si="40"/>
        <v>0</v>
      </c>
      <c r="N145" s="92">
        <f t="shared" si="32"/>
        <v>0</v>
      </c>
      <c r="O145" s="327"/>
      <c r="P145" s="92">
        <v>0</v>
      </c>
      <c r="Q145" s="92">
        <f t="shared" si="34"/>
        <v>0</v>
      </c>
      <c r="R145" s="327"/>
      <c r="S145" s="92">
        <v>0</v>
      </c>
      <c r="T145" s="92">
        <f t="shared" si="35"/>
        <v>0</v>
      </c>
      <c r="U145" s="327"/>
      <c r="V145" s="92">
        <v>0</v>
      </c>
      <c r="W145" s="92">
        <f t="shared" si="36"/>
        <v>0</v>
      </c>
      <c r="X145" s="295"/>
      <c r="Y145" s="325">
        <v>0</v>
      </c>
      <c r="Z145" s="95"/>
      <c r="AA145" s="95"/>
    </row>
    <row r="146" spans="3:29" ht="45" x14ac:dyDescent="0.25">
      <c r="C146" s="292" t="s">
        <v>366</v>
      </c>
      <c r="D146" s="328" t="s">
        <v>367</v>
      </c>
      <c r="E146" s="89"/>
      <c r="F146" s="92"/>
      <c r="G146" s="91"/>
      <c r="H146" s="90"/>
      <c r="I146" s="205"/>
      <c r="J146" s="90">
        <f>J75</f>
        <v>43270.130000000005</v>
      </c>
      <c r="K146" s="90"/>
      <c r="L146" s="90">
        <f>'[4]2016_2025_092016'!H278-J146-K146</f>
        <v>2164</v>
      </c>
      <c r="M146" s="92">
        <f t="shared" si="40"/>
        <v>45434.130000000005</v>
      </c>
      <c r="N146" s="92">
        <f t="shared" si="32"/>
        <v>45434.130000000005</v>
      </c>
      <c r="O146" s="327"/>
      <c r="P146" s="92">
        <v>45434.130000000005</v>
      </c>
      <c r="Q146" s="92">
        <f t="shared" si="34"/>
        <v>0</v>
      </c>
      <c r="R146" s="327"/>
      <c r="S146" s="92">
        <v>45434.130000000005</v>
      </c>
      <c r="T146" s="92">
        <f t="shared" si="35"/>
        <v>0</v>
      </c>
      <c r="U146" s="327"/>
      <c r="V146" s="92">
        <v>45434.130000000005</v>
      </c>
      <c r="W146" s="92">
        <f t="shared" si="36"/>
        <v>0</v>
      </c>
      <c r="X146" s="295"/>
      <c r="Y146" s="325">
        <v>375</v>
      </c>
      <c r="Z146" s="95">
        <f t="shared" si="37"/>
        <v>8.2537070699934163E-3</v>
      </c>
      <c r="AA146" s="293" t="s">
        <v>368</v>
      </c>
    </row>
    <row r="147" spans="3:29" ht="29.25" customHeight="1" x14ac:dyDescent="0.25">
      <c r="C147" s="277" t="s">
        <v>369</v>
      </c>
      <c r="D147" s="283" t="s">
        <v>370</v>
      </c>
      <c r="E147" s="284">
        <f>E148+E149+E150+E152</f>
        <v>1603771.3529632767</v>
      </c>
      <c r="F147" s="329">
        <f>F148+F149+F150+F152</f>
        <v>2375934</v>
      </c>
      <c r="G147" s="330">
        <f>G148+G149+G150+G152+G153</f>
        <v>2784672.2</v>
      </c>
      <c r="H147" s="286">
        <f t="shared" ref="H147:M147" si="43">H148+H149+H150+H151+H152</f>
        <v>0</v>
      </c>
      <c r="I147" s="286">
        <f t="shared" si="43"/>
        <v>0</v>
      </c>
      <c r="J147" s="286">
        <f t="shared" si="43"/>
        <v>210000</v>
      </c>
      <c r="K147" s="286">
        <f t="shared" si="43"/>
        <v>2424584.3575999998</v>
      </c>
      <c r="L147" s="286">
        <f t="shared" si="43"/>
        <v>2063617.2371999999</v>
      </c>
      <c r="M147" s="287">
        <f t="shared" si="43"/>
        <v>4698201.5947999991</v>
      </c>
      <c r="N147" s="287">
        <f t="shared" si="32"/>
        <v>1913529.394799999</v>
      </c>
      <c r="O147" s="279">
        <f>N147/G147</f>
        <v>0.68716504398614631</v>
      </c>
      <c r="P147" s="287">
        <f>P148+P149+P150+P151+P152</f>
        <v>4698201.5825999994</v>
      </c>
      <c r="Q147" s="287">
        <f>P147-M147</f>
        <v>-1.2199999764561653E-2</v>
      </c>
      <c r="R147" s="279"/>
      <c r="S147" s="287">
        <f>S148+S149+S150+S151+S152</f>
        <v>4698201.5825999994</v>
      </c>
      <c r="T147" s="287">
        <f>S147-P147</f>
        <v>0</v>
      </c>
      <c r="U147" s="279"/>
      <c r="V147" s="287">
        <f>V148+V149+V150+V151+V152</f>
        <v>4708147.5825999994</v>
      </c>
      <c r="W147" s="287">
        <f>V147-S147</f>
        <v>9946</v>
      </c>
      <c r="X147" s="331"/>
      <c r="Y147" s="289">
        <f>Y148+Y149+Y150+Y151+Y152+Y153</f>
        <v>303360</v>
      </c>
      <c r="Z147" s="290">
        <f t="shared" si="37"/>
        <v>6.4432984454678946E-2</v>
      </c>
      <c r="AA147" s="290"/>
    </row>
    <row r="148" spans="3:29" ht="90" customHeight="1" x14ac:dyDescent="0.25">
      <c r="C148" s="292" t="s">
        <v>371</v>
      </c>
      <c r="D148" s="328" t="s">
        <v>372</v>
      </c>
      <c r="E148" s="89">
        <v>1575313.9167506199</v>
      </c>
      <c r="F148" s="92">
        <v>2292594</v>
      </c>
      <c r="G148" s="91">
        <v>2145289</v>
      </c>
      <c r="H148" s="90"/>
      <c r="I148" s="205"/>
      <c r="J148" s="90"/>
      <c r="K148" s="90"/>
      <c r="L148" s="90">
        <f>[4]Izmaksu_veidi!AK60+[4]Izmaksu_veidi!AL60+[4]Izmaksu_veidi!AM60+[4]Izmaksu_veidi!AN60+[4]Izmaksu_veidi!AO60+[4]Izmaksu_veidi!AP60+[4]Izmaksu_veidi!AR60+[4]Izmaksu_veidi!AS60</f>
        <v>1577837</v>
      </c>
      <c r="M148" s="92">
        <f t="shared" si="40"/>
        <v>1577837</v>
      </c>
      <c r="N148" s="92">
        <f t="shared" si="32"/>
        <v>-567452</v>
      </c>
      <c r="O148" s="327"/>
      <c r="P148" s="92">
        <v>1577837</v>
      </c>
      <c r="Q148" s="92">
        <f t="shared" si="34"/>
        <v>0</v>
      </c>
      <c r="R148" s="327"/>
      <c r="S148" s="92">
        <v>1577837</v>
      </c>
      <c r="T148" s="92">
        <f t="shared" ref="T148:T211" si="44">S148-P148</f>
        <v>0</v>
      </c>
      <c r="U148" s="327"/>
      <c r="V148" s="92">
        <f>1577837+2500+7446</f>
        <v>1587783</v>
      </c>
      <c r="W148" s="92">
        <f t="shared" ref="W148:W211" si="45">V148-S148</f>
        <v>9946</v>
      </c>
      <c r="X148" s="332" t="s">
        <v>373</v>
      </c>
      <c r="Y148" s="325">
        <f>31+6627+11554+26385+1021+12728+78331+35459+69471</f>
        <v>241607</v>
      </c>
      <c r="Z148" s="95">
        <f t="shared" si="37"/>
        <v>0.15216625949515772</v>
      </c>
      <c r="AA148" s="95">
        <f>(M148-G148)/G148</f>
        <v>-0.26451074890143006</v>
      </c>
    </row>
    <row r="149" spans="3:29" x14ac:dyDescent="0.25">
      <c r="C149" s="292" t="s">
        <v>374</v>
      </c>
      <c r="D149" s="328" t="s">
        <v>280</v>
      </c>
      <c r="E149" s="89">
        <v>28457.436212656728</v>
      </c>
      <c r="F149" s="92">
        <v>83340</v>
      </c>
      <c r="G149" s="91">
        <v>354511.2</v>
      </c>
      <c r="H149" s="90"/>
      <c r="I149" s="205"/>
      <c r="J149" s="90"/>
      <c r="K149" s="90">
        <f>K99</f>
        <v>2289084</v>
      </c>
      <c r="L149" s="90">
        <f>'[4]2016_2025_092016'!H138-K149</f>
        <v>485780.23719999986</v>
      </c>
      <c r="M149" s="92">
        <f t="shared" si="40"/>
        <v>2774864.2371999999</v>
      </c>
      <c r="N149" s="92">
        <f t="shared" si="32"/>
        <v>2420353.0371999997</v>
      </c>
      <c r="O149" s="327"/>
      <c r="P149" s="92">
        <v>2774864.2249999996</v>
      </c>
      <c r="Q149" s="92">
        <f t="shared" si="34"/>
        <v>-1.220000023022294E-2</v>
      </c>
      <c r="R149" s="327"/>
      <c r="S149" s="92">
        <v>2774864.2249999996</v>
      </c>
      <c r="T149" s="92">
        <f t="shared" si="44"/>
        <v>0</v>
      </c>
      <c r="U149" s="327"/>
      <c r="V149" s="92">
        <v>2774864.2249999996</v>
      </c>
      <c r="W149" s="92">
        <f t="shared" si="45"/>
        <v>0</v>
      </c>
      <c r="X149" s="295"/>
      <c r="Y149" s="325">
        <v>61753</v>
      </c>
      <c r="Z149" s="95">
        <f t="shared" si="37"/>
        <v>2.2254422196098626E-2</v>
      </c>
      <c r="AA149" s="95" t="s">
        <v>375</v>
      </c>
    </row>
    <row r="150" spans="3:29" x14ac:dyDescent="0.25">
      <c r="C150" s="292" t="s">
        <v>376</v>
      </c>
      <c r="D150" s="328" t="s">
        <v>377</v>
      </c>
      <c r="E150" s="89"/>
      <c r="F150" s="92"/>
      <c r="G150" s="91">
        <v>18831</v>
      </c>
      <c r="H150" s="90"/>
      <c r="I150" s="205"/>
      <c r="J150" s="90">
        <f>J74</f>
        <v>210000</v>
      </c>
      <c r="K150" s="90">
        <f>K106</f>
        <v>30000.357599999988</v>
      </c>
      <c r="L150" s="90">
        <f>'[4]2016_2025_092016'!H226-J150-K150</f>
        <v>0</v>
      </c>
      <c r="M150" s="92">
        <f t="shared" si="40"/>
        <v>240000.35759999999</v>
      </c>
      <c r="N150" s="92">
        <f t="shared" si="32"/>
        <v>221169.35759999999</v>
      </c>
      <c r="O150" s="295"/>
      <c r="P150" s="92">
        <v>240000.35759999999</v>
      </c>
      <c r="Q150" s="92">
        <f t="shared" si="34"/>
        <v>0</v>
      </c>
      <c r="R150" s="295"/>
      <c r="S150" s="92">
        <v>240000.35759999999</v>
      </c>
      <c r="T150" s="92">
        <f t="shared" si="44"/>
        <v>0</v>
      </c>
      <c r="U150" s="295"/>
      <c r="V150" s="92">
        <v>240000.35759999999</v>
      </c>
      <c r="W150" s="92">
        <f t="shared" si="45"/>
        <v>0</v>
      </c>
      <c r="X150" s="295"/>
      <c r="Y150" s="333">
        <v>0</v>
      </c>
      <c r="Z150" s="95">
        <f t="shared" si="37"/>
        <v>0</v>
      </c>
      <c r="AA150" s="95"/>
    </row>
    <row r="151" spans="3:29" ht="45" x14ac:dyDescent="0.25">
      <c r="C151" s="292" t="s">
        <v>378</v>
      </c>
      <c r="D151" s="328" t="s">
        <v>302</v>
      </c>
      <c r="E151" s="89"/>
      <c r="F151" s="92"/>
      <c r="G151" s="91"/>
      <c r="H151" s="90"/>
      <c r="I151" s="205"/>
      <c r="J151" s="90"/>
      <c r="K151" s="90">
        <f>K107</f>
        <v>105500</v>
      </c>
      <c r="L151" s="90">
        <f>'[4]2016_2025_092016'!H249-J151-K151</f>
        <v>0</v>
      </c>
      <c r="M151" s="92">
        <f>H151+I151+J151+K151+L151</f>
        <v>105500</v>
      </c>
      <c r="N151" s="92">
        <f>M151-G151</f>
        <v>105500</v>
      </c>
      <c r="O151" s="295"/>
      <c r="P151" s="92">
        <v>105500</v>
      </c>
      <c r="Q151" s="92">
        <f t="shared" si="34"/>
        <v>0</v>
      </c>
      <c r="R151" s="295"/>
      <c r="S151" s="92">
        <v>105500</v>
      </c>
      <c r="T151" s="92">
        <f t="shared" si="44"/>
        <v>0</v>
      </c>
      <c r="U151" s="295"/>
      <c r="V151" s="92">
        <v>105500</v>
      </c>
      <c r="W151" s="92">
        <f t="shared" si="45"/>
        <v>0</v>
      </c>
      <c r="X151" s="295"/>
      <c r="Y151" s="333">
        <v>0</v>
      </c>
      <c r="Z151" s="95">
        <f t="shared" si="37"/>
        <v>0</v>
      </c>
      <c r="AA151" s="95"/>
    </row>
    <row r="152" spans="3:29" x14ac:dyDescent="0.25">
      <c r="C152" s="292" t="s">
        <v>379</v>
      </c>
      <c r="D152" s="328" t="s">
        <v>380</v>
      </c>
      <c r="E152" s="89"/>
      <c r="F152" s="92"/>
      <c r="G152" s="91">
        <v>133446</v>
      </c>
      <c r="H152" s="90"/>
      <c r="I152" s="205"/>
      <c r="J152" s="90"/>
      <c r="K152" s="90"/>
      <c r="L152" s="90"/>
      <c r="M152" s="92">
        <f>H152+I152+J152+K152+L152</f>
        <v>0</v>
      </c>
      <c r="N152" s="92">
        <f>M152-G152</f>
        <v>-133446</v>
      </c>
      <c r="O152" s="295"/>
      <c r="P152" s="92">
        <v>0</v>
      </c>
      <c r="Q152" s="92">
        <f t="shared" si="34"/>
        <v>0</v>
      </c>
      <c r="R152" s="295"/>
      <c r="S152" s="92">
        <v>0</v>
      </c>
      <c r="T152" s="92">
        <f t="shared" si="44"/>
        <v>0</v>
      </c>
      <c r="U152" s="295"/>
      <c r="V152" s="92">
        <v>0</v>
      </c>
      <c r="W152" s="92">
        <f t="shared" si="45"/>
        <v>0</v>
      </c>
      <c r="X152" s="295"/>
      <c r="Y152" s="333">
        <v>0</v>
      </c>
      <c r="Z152" s="95"/>
      <c r="AA152" s="95"/>
    </row>
    <row r="153" spans="3:29" x14ac:dyDescent="0.25">
      <c r="C153" s="292" t="s">
        <v>381</v>
      </c>
      <c r="D153" s="328" t="s">
        <v>354</v>
      </c>
      <c r="E153" s="89"/>
      <c r="F153" s="92"/>
      <c r="G153" s="91">
        <v>132595</v>
      </c>
      <c r="H153" s="90"/>
      <c r="I153" s="205"/>
      <c r="J153" s="90"/>
      <c r="K153" s="90"/>
      <c r="L153" s="90"/>
      <c r="M153" s="92"/>
      <c r="N153" s="92"/>
      <c r="O153" s="295"/>
      <c r="P153" s="92"/>
      <c r="Q153" s="92">
        <f t="shared" si="34"/>
        <v>0</v>
      </c>
      <c r="R153" s="295"/>
      <c r="S153" s="92"/>
      <c r="T153" s="92">
        <f t="shared" si="44"/>
        <v>0</v>
      </c>
      <c r="U153" s="295"/>
      <c r="V153" s="92"/>
      <c r="W153" s="92">
        <f t="shared" si="45"/>
        <v>0</v>
      </c>
      <c r="X153" s="295"/>
      <c r="Y153" s="333">
        <v>0</v>
      </c>
      <c r="Z153" s="95"/>
      <c r="AA153" s="95"/>
    </row>
    <row r="154" spans="3:29" x14ac:dyDescent="0.25">
      <c r="C154" s="281" t="s">
        <v>65</v>
      </c>
      <c r="D154" s="282" t="s">
        <v>382</v>
      </c>
      <c r="E154" s="82">
        <f>E155+E156+E157+E162+E163</f>
        <v>762313.22885470244</v>
      </c>
      <c r="F154" s="334">
        <f t="shared" ref="F154:L154" si="46">F155+F156+F157+F162+F163+F164</f>
        <v>1003061.066</v>
      </c>
      <c r="G154" s="84">
        <f>G155+G156+G157+G162+G163+G164</f>
        <v>1487275</v>
      </c>
      <c r="H154" s="83">
        <f t="shared" si="46"/>
        <v>0</v>
      </c>
      <c r="I154" s="83">
        <f t="shared" si="46"/>
        <v>0</v>
      </c>
      <c r="J154" s="83">
        <f t="shared" si="46"/>
        <v>0</v>
      </c>
      <c r="K154" s="83">
        <f t="shared" si="46"/>
        <v>0</v>
      </c>
      <c r="L154" s="83">
        <f t="shared" si="46"/>
        <v>948929</v>
      </c>
      <c r="M154" s="85">
        <f>H154+I154+J154+K154+L154</f>
        <v>948929</v>
      </c>
      <c r="N154" s="85">
        <f t="shared" si="32"/>
        <v>-538346</v>
      </c>
      <c r="O154" s="86">
        <f t="shared" ref="O154:O166" si="47">N154/G154</f>
        <v>-0.36196802877746215</v>
      </c>
      <c r="P154" s="85">
        <f>P155+P156+P157+P162+P163+P164</f>
        <v>948929</v>
      </c>
      <c r="Q154" s="85">
        <f t="shared" si="34"/>
        <v>0</v>
      </c>
      <c r="R154" s="86"/>
      <c r="S154" s="85">
        <f>S155+S156+S157+S162+S163+S164</f>
        <v>948929</v>
      </c>
      <c r="T154" s="85">
        <f t="shared" si="44"/>
        <v>0</v>
      </c>
      <c r="U154" s="86"/>
      <c r="V154" s="85">
        <f>V155+V156+V157+V162+V163+V164</f>
        <v>948929</v>
      </c>
      <c r="W154" s="85">
        <f t="shared" si="45"/>
        <v>0</v>
      </c>
      <c r="X154" s="86"/>
      <c r="Y154" s="87">
        <f>Y155+Y156+Y157+Y162+Y163+Y164</f>
        <v>132163</v>
      </c>
      <c r="Z154" s="88">
        <f t="shared" si="37"/>
        <v>0.1392759626905701</v>
      </c>
      <c r="AA154" s="88"/>
      <c r="AB154" s="276"/>
    </row>
    <row r="155" spans="3:29" ht="16.5" customHeight="1" x14ac:dyDescent="0.25">
      <c r="C155" s="277" t="s">
        <v>68</v>
      </c>
      <c r="D155" s="278" t="s">
        <v>383</v>
      </c>
      <c r="E155" s="186">
        <f>314660.986562399+1550+300+18375</f>
        <v>334885.98656239902</v>
      </c>
      <c r="F155" s="335">
        <f>407695+787*2*1.2359*10+2</f>
        <v>427150.06599999999</v>
      </c>
      <c r="G155" s="188">
        <v>421626</v>
      </c>
      <c r="H155" s="187"/>
      <c r="I155" s="187">
        <f>I60</f>
        <v>0</v>
      </c>
      <c r="J155" s="187"/>
      <c r="K155" s="187"/>
      <c r="L155" s="187">
        <f>[4]Izmaksu_veidi!AX60</f>
        <v>436190</v>
      </c>
      <c r="M155" s="189">
        <f>H155+I155+J155+K155+L155</f>
        <v>436190</v>
      </c>
      <c r="N155" s="189">
        <f t="shared" si="32"/>
        <v>14564</v>
      </c>
      <c r="O155" s="336">
        <f t="shared" si="47"/>
        <v>3.4542461802640256E-2</v>
      </c>
      <c r="P155" s="189">
        <v>436190</v>
      </c>
      <c r="Q155" s="189">
        <f t="shared" si="34"/>
        <v>0</v>
      </c>
      <c r="R155" s="336"/>
      <c r="S155" s="189">
        <v>436190</v>
      </c>
      <c r="T155" s="189">
        <f t="shared" si="44"/>
        <v>0</v>
      </c>
      <c r="U155" s="336"/>
      <c r="V155" s="189">
        <v>436190</v>
      </c>
      <c r="W155" s="189">
        <f t="shared" si="45"/>
        <v>0</v>
      </c>
      <c r="X155" s="336"/>
      <c r="Y155" s="191">
        <v>47948</v>
      </c>
      <c r="Z155" s="192">
        <f t="shared" si="37"/>
        <v>0.10992457415346524</v>
      </c>
      <c r="AA155" s="192"/>
      <c r="AB155" s="337"/>
      <c r="AC155" s="338"/>
    </row>
    <row r="156" spans="3:29" x14ac:dyDescent="0.25">
      <c r="C156" s="277" t="s">
        <v>80</v>
      </c>
      <c r="D156" s="278" t="s">
        <v>384</v>
      </c>
      <c r="E156" s="186">
        <f>33409.030113659+3805</f>
        <v>37214.030113658999</v>
      </c>
      <c r="F156" s="335">
        <v>72465</v>
      </c>
      <c r="G156" s="188">
        <v>70072</v>
      </c>
      <c r="H156" s="187"/>
      <c r="I156" s="187"/>
      <c r="J156" s="187"/>
      <c r="K156" s="187"/>
      <c r="L156" s="187">
        <f>[4]Izmaksu_veidi!AW60</f>
        <v>75701</v>
      </c>
      <c r="M156" s="189">
        <f t="shared" ref="M156:M164" si="48">H156+I156+J156+K156+L156</f>
        <v>75701</v>
      </c>
      <c r="N156" s="189">
        <f t="shared" si="32"/>
        <v>5629</v>
      </c>
      <c r="O156" s="190">
        <f t="shared" si="47"/>
        <v>8.0331658865167258E-2</v>
      </c>
      <c r="P156" s="189">
        <v>75701</v>
      </c>
      <c r="Q156" s="189">
        <f t="shared" si="34"/>
        <v>0</v>
      </c>
      <c r="R156" s="190"/>
      <c r="S156" s="189">
        <v>75701</v>
      </c>
      <c r="T156" s="189">
        <f t="shared" si="44"/>
        <v>0</v>
      </c>
      <c r="U156" s="190"/>
      <c r="V156" s="189">
        <v>75701</v>
      </c>
      <c r="W156" s="189">
        <f t="shared" si="45"/>
        <v>0</v>
      </c>
      <c r="X156" s="190"/>
      <c r="Y156" s="191">
        <v>14292</v>
      </c>
      <c r="Z156" s="192">
        <f t="shared" si="37"/>
        <v>0.18879539239904361</v>
      </c>
      <c r="AA156" s="192"/>
    </row>
    <row r="157" spans="3:29" ht="18.75" customHeight="1" x14ac:dyDescent="0.25">
      <c r="C157" s="277" t="s">
        <v>385</v>
      </c>
      <c r="D157" s="278" t="s">
        <v>386</v>
      </c>
      <c r="E157" s="186">
        <f>333136.977023466+2455+10210+17625</f>
        <v>363426.97702346602</v>
      </c>
      <c r="F157" s="335">
        <f>401845+32885+4486</f>
        <v>439216</v>
      </c>
      <c r="G157" s="188">
        <v>453893</v>
      </c>
      <c r="H157" s="187"/>
      <c r="I157" s="187"/>
      <c r="J157" s="187"/>
      <c r="K157" s="187"/>
      <c r="L157" s="187">
        <f>[4]Izmaksu_veidi!AV60</f>
        <v>385818</v>
      </c>
      <c r="M157" s="189">
        <f t="shared" si="48"/>
        <v>385818</v>
      </c>
      <c r="N157" s="189">
        <f t="shared" si="32"/>
        <v>-68075</v>
      </c>
      <c r="O157" s="279">
        <f t="shared" si="47"/>
        <v>-0.14998028169634695</v>
      </c>
      <c r="P157" s="189">
        <v>385818</v>
      </c>
      <c r="Q157" s="189">
        <f t="shared" si="34"/>
        <v>0</v>
      </c>
      <c r="R157" s="279"/>
      <c r="S157" s="189">
        <v>385818</v>
      </c>
      <c r="T157" s="189">
        <f t="shared" si="44"/>
        <v>0</v>
      </c>
      <c r="U157" s="279"/>
      <c r="V157" s="189">
        <v>385818</v>
      </c>
      <c r="W157" s="189">
        <f t="shared" si="45"/>
        <v>0</v>
      </c>
      <c r="X157" s="279"/>
      <c r="Y157" s="191">
        <v>62518</v>
      </c>
      <c r="Z157" s="192">
        <f t="shared" si="37"/>
        <v>0.16204013291240948</v>
      </c>
      <c r="AA157" s="192"/>
    </row>
    <row r="158" spans="3:29" s="123" customFormat="1" hidden="1" outlineLevel="1" x14ac:dyDescent="0.25">
      <c r="C158" s="68" t="s">
        <v>387</v>
      </c>
      <c r="D158" s="68" t="s">
        <v>388</v>
      </c>
      <c r="E158" s="126">
        <v>590475</v>
      </c>
      <c r="F158" s="127">
        <v>590475</v>
      </c>
      <c r="G158" s="128">
        <v>590475</v>
      </c>
      <c r="H158" s="129"/>
      <c r="I158" s="129"/>
      <c r="J158" s="129"/>
      <c r="K158" s="129"/>
      <c r="L158" s="129">
        <v>590475</v>
      </c>
      <c r="M158" s="189">
        <f t="shared" si="48"/>
        <v>590475</v>
      </c>
      <c r="N158" s="130">
        <f t="shared" si="32"/>
        <v>0</v>
      </c>
      <c r="O158" s="131">
        <f t="shared" si="47"/>
        <v>0</v>
      </c>
      <c r="P158" s="130">
        <v>590475</v>
      </c>
      <c r="Q158" s="130">
        <f t="shared" si="34"/>
        <v>0</v>
      </c>
      <c r="R158" s="131"/>
      <c r="S158" s="130">
        <v>590475</v>
      </c>
      <c r="T158" s="130">
        <f t="shared" si="44"/>
        <v>0</v>
      </c>
      <c r="U158" s="131"/>
      <c r="V158" s="130">
        <v>590475</v>
      </c>
      <c r="W158" s="130">
        <f t="shared" si="45"/>
        <v>0</v>
      </c>
      <c r="X158" s="131"/>
      <c r="Y158" s="132"/>
      <c r="Z158" s="133">
        <f t="shared" si="37"/>
        <v>0</v>
      </c>
      <c r="AA158" s="133"/>
      <c r="AB158" s="134"/>
    </row>
    <row r="159" spans="3:29" s="123" customFormat="1" hidden="1" outlineLevel="1" x14ac:dyDescent="0.25">
      <c r="C159" s="68" t="s">
        <v>389</v>
      </c>
      <c r="D159" s="68" t="s">
        <v>390</v>
      </c>
      <c r="E159" s="126"/>
      <c r="F159" s="127"/>
      <c r="G159" s="128">
        <v>0</v>
      </c>
      <c r="H159" s="129"/>
      <c r="I159" s="129"/>
      <c r="J159" s="129"/>
      <c r="K159" s="129"/>
      <c r="L159" s="129"/>
      <c r="M159" s="189">
        <f t="shared" si="48"/>
        <v>0</v>
      </c>
      <c r="N159" s="130">
        <f t="shared" si="32"/>
        <v>0</v>
      </c>
      <c r="O159" s="131" t="e">
        <f t="shared" si="47"/>
        <v>#DIV/0!</v>
      </c>
      <c r="P159" s="130">
        <v>0</v>
      </c>
      <c r="Q159" s="130">
        <f t="shared" si="34"/>
        <v>0</v>
      </c>
      <c r="R159" s="131"/>
      <c r="S159" s="130">
        <v>0</v>
      </c>
      <c r="T159" s="130">
        <f t="shared" si="44"/>
        <v>0</v>
      </c>
      <c r="U159" s="131"/>
      <c r="V159" s="130">
        <v>0</v>
      </c>
      <c r="W159" s="130">
        <f t="shared" si="45"/>
        <v>0</v>
      </c>
      <c r="X159" s="131"/>
      <c r="Y159" s="132"/>
      <c r="Z159" s="133" t="e">
        <f t="shared" si="37"/>
        <v>#DIV/0!</v>
      </c>
      <c r="AA159" s="133"/>
      <c r="AB159" s="134"/>
    </row>
    <row r="160" spans="3:29" s="123" customFormat="1" hidden="1" outlineLevel="1" x14ac:dyDescent="0.25">
      <c r="C160" s="68" t="s">
        <v>391</v>
      </c>
      <c r="D160" s="68" t="s">
        <v>392</v>
      </c>
      <c r="E160" s="211"/>
      <c r="F160" s="254"/>
      <c r="G160" s="212">
        <v>0</v>
      </c>
      <c r="H160" s="26"/>
      <c r="I160" s="26"/>
      <c r="J160" s="26"/>
      <c r="K160" s="26"/>
      <c r="L160" s="26"/>
      <c r="M160" s="189">
        <f t="shared" si="48"/>
        <v>0</v>
      </c>
      <c r="N160" s="1">
        <f t="shared" si="32"/>
        <v>0</v>
      </c>
      <c r="O160" s="29" t="e">
        <f t="shared" si="47"/>
        <v>#DIV/0!</v>
      </c>
      <c r="P160" s="1">
        <v>0</v>
      </c>
      <c r="Q160" s="1">
        <f t="shared" si="34"/>
        <v>0</v>
      </c>
      <c r="R160" s="29"/>
      <c r="S160" s="1">
        <v>0</v>
      </c>
      <c r="T160" s="1">
        <f t="shared" si="44"/>
        <v>0</v>
      </c>
      <c r="U160" s="29"/>
      <c r="V160" s="1">
        <v>0</v>
      </c>
      <c r="W160" s="1">
        <f t="shared" si="45"/>
        <v>0</v>
      </c>
      <c r="X160" s="29"/>
      <c r="Y160" s="213"/>
      <c r="Z160" s="30" t="e">
        <f t="shared" si="37"/>
        <v>#DIV/0!</v>
      </c>
      <c r="AA160" s="30"/>
      <c r="AB160" s="134"/>
    </row>
    <row r="161" spans="2:28" s="123" customFormat="1" hidden="1" outlineLevel="1" x14ac:dyDescent="0.25">
      <c r="C161" s="68" t="s">
        <v>393</v>
      </c>
      <c r="D161" s="68" t="s">
        <v>394</v>
      </c>
      <c r="E161" s="211" t="e">
        <v>#REF!</v>
      </c>
      <c r="F161" s="254" t="e">
        <v>#REF!</v>
      </c>
      <c r="G161" s="212" t="e">
        <v>#REF!</v>
      </c>
      <c r="H161" s="26"/>
      <c r="I161" s="26"/>
      <c r="J161" s="26">
        <v>9450</v>
      </c>
      <c r="K161" s="26"/>
      <c r="L161" s="26" t="e">
        <v>#REF!</v>
      </c>
      <c r="M161" s="189" t="e">
        <f t="shared" si="48"/>
        <v>#REF!</v>
      </c>
      <c r="N161" s="1" t="e">
        <f t="shared" si="32"/>
        <v>#REF!</v>
      </c>
      <c r="O161" s="29" t="e">
        <f t="shared" si="47"/>
        <v>#REF!</v>
      </c>
      <c r="P161" s="1" t="e">
        <v>#REF!</v>
      </c>
      <c r="Q161" s="1" t="e">
        <f t="shared" si="34"/>
        <v>#REF!</v>
      </c>
      <c r="R161" s="29"/>
      <c r="S161" s="1" t="e">
        <v>#REF!</v>
      </c>
      <c r="T161" s="1" t="e">
        <f t="shared" si="44"/>
        <v>#REF!</v>
      </c>
      <c r="U161" s="29"/>
      <c r="V161" s="1" t="e">
        <v>#REF!</v>
      </c>
      <c r="W161" s="1" t="e">
        <f t="shared" si="45"/>
        <v>#REF!</v>
      </c>
      <c r="X161" s="29"/>
      <c r="Y161" s="213"/>
      <c r="Z161" s="30" t="e">
        <f t="shared" si="37"/>
        <v>#REF!</v>
      </c>
      <c r="AA161" s="30"/>
      <c r="AB161" s="134"/>
    </row>
    <row r="162" spans="2:28" ht="15.75" customHeight="1" collapsed="1" x14ac:dyDescent="0.25">
      <c r="C162" s="277" t="s">
        <v>395</v>
      </c>
      <c r="D162" s="278" t="s">
        <v>396</v>
      </c>
      <c r="E162" s="186">
        <v>2845.743621265673</v>
      </c>
      <c r="F162" s="335">
        <f>1500*2</f>
        <v>3000</v>
      </c>
      <c r="G162" s="188">
        <v>3000</v>
      </c>
      <c r="H162" s="187"/>
      <c r="I162" s="187"/>
      <c r="J162" s="187"/>
      <c r="K162" s="187"/>
      <c r="L162" s="187">
        <f>[4]Izmaksu_veidi!BA60</f>
        <v>3000</v>
      </c>
      <c r="M162" s="189">
        <f t="shared" si="48"/>
        <v>3000</v>
      </c>
      <c r="N162" s="189">
        <f t="shared" si="32"/>
        <v>0</v>
      </c>
      <c r="O162" s="336">
        <f t="shared" si="47"/>
        <v>0</v>
      </c>
      <c r="P162" s="189">
        <v>3000</v>
      </c>
      <c r="Q162" s="189">
        <f t="shared" si="34"/>
        <v>0</v>
      </c>
      <c r="R162" s="336"/>
      <c r="S162" s="189">
        <v>3000</v>
      </c>
      <c r="T162" s="189">
        <f t="shared" si="44"/>
        <v>0</v>
      </c>
      <c r="U162" s="336"/>
      <c r="V162" s="189">
        <v>3000</v>
      </c>
      <c r="W162" s="189">
        <f t="shared" si="45"/>
        <v>0</v>
      </c>
      <c r="X162" s="336"/>
      <c r="Y162" s="191">
        <v>3000</v>
      </c>
      <c r="Z162" s="192">
        <f t="shared" si="37"/>
        <v>1</v>
      </c>
      <c r="AA162" s="192"/>
    </row>
    <row r="163" spans="2:28" ht="18.75" customHeight="1" x14ac:dyDescent="0.25">
      <c r="C163" s="277" t="s">
        <v>397</v>
      </c>
      <c r="D163" s="278" t="s">
        <v>398</v>
      </c>
      <c r="E163" s="186">
        <f>22737.4915339127+1203</f>
        <v>23940.4915339127</v>
      </c>
      <c r="F163" s="335">
        <v>61230</v>
      </c>
      <c r="G163" s="188">
        <v>45624</v>
      </c>
      <c r="H163" s="187"/>
      <c r="I163" s="187"/>
      <c r="J163" s="187"/>
      <c r="K163" s="187"/>
      <c r="L163" s="187">
        <f>[4]Izmaksu_veidi!AY60</f>
        <v>29770</v>
      </c>
      <c r="M163" s="189">
        <f t="shared" si="48"/>
        <v>29770</v>
      </c>
      <c r="N163" s="189">
        <f t="shared" si="32"/>
        <v>-15854</v>
      </c>
      <c r="O163" s="190">
        <f t="shared" si="47"/>
        <v>-0.34749254778186917</v>
      </c>
      <c r="P163" s="189">
        <v>29770</v>
      </c>
      <c r="Q163" s="189">
        <f t="shared" si="34"/>
        <v>0</v>
      </c>
      <c r="R163" s="190"/>
      <c r="S163" s="189">
        <v>29770</v>
      </c>
      <c r="T163" s="189">
        <f t="shared" si="44"/>
        <v>0</v>
      </c>
      <c r="U163" s="190"/>
      <c r="V163" s="189">
        <v>29770</v>
      </c>
      <c r="W163" s="189">
        <f t="shared" si="45"/>
        <v>0</v>
      </c>
      <c r="X163" s="190"/>
      <c r="Y163" s="191">
        <v>4405</v>
      </c>
      <c r="Z163" s="192">
        <f t="shared" si="37"/>
        <v>0.14796775277124621</v>
      </c>
      <c r="AA163" s="192"/>
    </row>
    <row r="164" spans="2:28" ht="17.25" customHeight="1" x14ac:dyDescent="0.25">
      <c r="C164" s="277" t="s">
        <v>399</v>
      </c>
      <c r="D164" s="278" t="s">
        <v>400</v>
      </c>
      <c r="E164" s="186"/>
      <c r="F164" s="335"/>
      <c r="G164" s="188">
        <v>493060</v>
      </c>
      <c r="H164" s="187"/>
      <c r="I164" s="187"/>
      <c r="J164" s="187"/>
      <c r="K164" s="187"/>
      <c r="L164" s="187">
        <f>[4]Izmaksu_veidi!AZ60</f>
        <v>18450</v>
      </c>
      <c r="M164" s="189">
        <f t="shared" si="48"/>
        <v>18450</v>
      </c>
      <c r="N164" s="189">
        <f t="shared" si="32"/>
        <v>-474610</v>
      </c>
      <c r="O164" s="280">
        <f t="shared" si="47"/>
        <v>-0.96258061899160341</v>
      </c>
      <c r="P164" s="189">
        <v>18450</v>
      </c>
      <c r="Q164" s="189">
        <f t="shared" si="34"/>
        <v>0</v>
      </c>
      <c r="R164" s="280"/>
      <c r="S164" s="189">
        <v>18450</v>
      </c>
      <c r="T164" s="189">
        <f t="shared" si="44"/>
        <v>0</v>
      </c>
      <c r="U164" s="280"/>
      <c r="V164" s="189">
        <v>18450</v>
      </c>
      <c r="W164" s="189">
        <f t="shared" si="45"/>
        <v>0</v>
      </c>
      <c r="X164" s="280"/>
      <c r="Y164" s="191">
        <v>0</v>
      </c>
      <c r="Z164" s="192">
        <f t="shared" si="37"/>
        <v>0</v>
      </c>
      <c r="AA164" s="192"/>
    </row>
    <row r="165" spans="2:28" s="10" customFormat="1" ht="14.25" x14ac:dyDescent="0.2">
      <c r="C165" s="281" t="s">
        <v>101</v>
      </c>
      <c r="D165" s="282" t="s">
        <v>401</v>
      </c>
      <c r="E165" s="82">
        <f t="shared" ref="E165:M165" si="49">E166+E169+E172</f>
        <v>524010.96645437385</v>
      </c>
      <c r="F165" s="83">
        <f t="shared" si="49"/>
        <v>538581</v>
      </c>
      <c r="G165" s="84">
        <f>G166+G169+G172</f>
        <v>538926.63</v>
      </c>
      <c r="H165" s="83">
        <f t="shared" si="49"/>
        <v>2746</v>
      </c>
      <c r="I165" s="83">
        <f t="shared" si="49"/>
        <v>74202</v>
      </c>
      <c r="J165" s="83">
        <f t="shared" si="49"/>
        <v>0</v>
      </c>
      <c r="K165" s="83"/>
      <c r="L165" s="83">
        <f t="shared" si="49"/>
        <v>472204</v>
      </c>
      <c r="M165" s="85">
        <f t="shared" si="49"/>
        <v>549152</v>
      </c>
      <c r="N165" s="85">
        <f t="shared" si="32"/>
        <v>10225.369999999995</v>
      </c>
      <c r="O165" s="86">
        <f t="shared" si="47"/>
        <v>1.897358458608734E-2</v>
      </c>
      <c r="P165" s="85">
        <f>P166+P169+P172</f>
        <v>549152</v>
      </c>
      <c r="Q165" s="85">
        <f t="shared" si="34"/>
        <v>0</v>
      </c>
      <c r="R165" s="86"/>
      <c r="S165" s="85">
        <f>S166+S169+S172</f>
        <v>549152</v>
      </c>
      <c r="T165" s="85">
        <f t="shared" si="44"/>
        <v>0</v>
      </c>
      <c r="U165" s="86"/>
      <c r="V165" s="85">
        <f>V166+V169+V172</f>
        <v>549152</v>
      </c>
      <c r="W165" s="85">
        <f t="shared" si="45"/>
        <v>0</v>
      </c>
      <c r="X165" s="86"/>
      <c r="Y165" s="87">
        <f>Y166+Y169+Y172</f>
        <v>97696</v>
      </c>
      <c r="Z165" s="88">
        <f t="shared" si="37"/>
        <v>0.1779033855835907</v>
      </c>
      <c r="AA165" s="88"/>
      <c r="AB165" s="276"/>
    </row>
    <row r="166" spans="2:28" s="10" customFormat="1" ht="18.75" customHeight="1" x14ac:dyDescent="0.25">
      <c r="C166" s="277" t="s">
        <v>105</v>
      </c>
      <c r="D166" s="278" t="s">
        <v>402</v>
      </c>
      <c r="E166" s="186">
        <f>432858.947871668+500+300/0.702804+700+11876+13235</f>
        <v>459596.80941485782</v>
      </c>
      <c r="F166" s="189">
        <f>414955+60000+13946</f>
        <v>488901</v>
      </c>
      <c r="G166" s="188">
        <f>G167+G168</f>
        <v>485937</v>
      </c>
      <c r="H166" s="187"/>
      <c r="I166" s="187">
        <f>I167+I168</f>
        <v>72202</v>
      </c>
      <c r="J166" s="187">
        <f>J167</f>
        <v>0</v>
      </c>
      <c r="K166" s="187"/>
      <c r="L166" s="187">
        <f>L167+L168</f>
        <v>426633</v>
      </c>
      <c r="M166" s="189">
        <f>M167+M168</f>
        <v>498835</v>
      </c>
      <c r="N166" s="189">
        <f t="shared" si="32"/>
        <v>12898</v>
      </c>
      <c r="O166" s="190">
        <f t="shared" si="47"/>
        <v>2.6542535349232513E-2</v>
      </c>
      <c r="P166" s="189">
        <f>P167+P168</f>
        <v>498835</v>
      </c>
      <c r="Q166" s="189">
        <f t="shared" si="34"/>
        <v>0</v>
      </c>
      <c r="R166" s="190"/>
      <c r="S166" s="189">
        <f>S167+S168</f>
        <v>498835</v>
      </c>
      <c r="T166" s="189">
        <f t="shared" si="44"/>
        <v>0</v>
      </c>
      <c r="U166" s="190"/>
      <c r="V166" s="189">
        <f>V167+V168</f>
        <v>498835</v>
      </c>
      <c r="W166" s="189">
        <f t="shared" si="45"/>
        <v>0</v>
      </c>
      <c r="X166" s="190"/>
      <c r="Y166" s="191">
        <f>Y167+Y168</f>
        <v>90628</v>
      </c>
      <c r="Z166" s="192">
        <f t="shared" si="37"/>
        <v>0.18167931279882124</v>
      </c>
      <c r="AA166" s="192"/>
    </row>
    <row r="167" spans="2:28" s="339" customFormat="1" outlineLevel="1" x14ac:dyDescent="0.25">
      <c r="C167" s="340" t="s">
        <v>403</v>
      </c>
      <c r="D167" s="341" t="s">
        <v>404</v>
      </c>
      <c r="E167" s="342">
        <v>251569</v>
      </c>
      <c r="F167" s="343">
        <v>414955</v>
      </c>
      <c r="G167" s="344">
        <f>414045-310</f>
        <v>413735</v>
      </c>
      <c r="H167" s="345"/>
      <c r="I167" s="345"/>
      <c r="J167" s="345"/>
      <c r="K167" s="345"/>
      <c r="L167" s="345">
        <f>[4]Izmaksu_veidi!BB60-[4]Izmaksu_veidi!BB62</f>
        <v>426633</v>
      </c>
      <c r="M167" s="343">
        <f t="shared" ref="M167:M184" si="50">H167+I167+J167+K167+L167</f>
        <v>426633</v>
      </c>
      <c r="N167" s="343">
        <f t="shared" si="32"/>
        <v>12898</v>
      </c>
      <c r="O167" s="346"/>
      <c r="P167" s="343">
        <v>426633</v>
      </c>
      <c r="Q167" s="343">
        <f t="shared" si="34"/>
        <v>0</v>
      </c>
      <c r="R167" s="346"/>
      <c r="S167" s="343">
        <v>426633</v>
      </c>
      <c r="T167" s="343">
        <f t="shared" si="44"/>
        <v>0</v>
      </c>
      <c r="U167" s="346"/>
      <c r="V167" s="343">
        <v>426633</v>
      </c>
      <c r="W167" s="343">
        <f t="shared" si="45"/>
        <v>0</v>
      </c>
      <c r="X167" s="346"/>
      <c r="Y167" s="347">
        <v>79191</v>
      </c>
      <c r="Z167" s="348">
        <f t="shared" si="37"/>
        <v>0.18561855271392508</v>
      </c>
      <c r="AA167" s="348"/>
      <c r="AB167" s="349"/>
    </row>
    <row r="168" spans="2:28" s="339" customFormat="1" outlineLevel="1" x14ac:dyDescent="0.25">
      <c r="C168" s="340" t="s">
        <v>405</v>
      </c>
      <c r="D168" s="341" t="s">
        <v>406</v>
      </c>
      <c r="E168" s="342"/>
      <c r="F168" s="343">
        <v>60000</v>
      </c>
      <c r="G168" s="344">
        <v>72202</v>
      </c>
      <c r="H168" s="345"/>
      <c r="I168" s="345">
        <f>I63</f>
        <v>72202</v>
      </c>
      <c r="J168" s="345"/>
      <c r="K168" s="345"/>
      <c r="L168" s="345"/>
      <c r="M168" s="343">
        <f t="shared" si="50"/>
        <v>72202</v>
      </c>
      <c r="N168" s="343">
        <f t="shared" si="32"/>
        <v>0</v>
      </c>
      <c r="O168" s="350"/>
      <c r="P168" s="343">
        <v>72202</v>
      </c>
      <c r="Q168" s="343">
        <f t="shared" si="34"/>
        <v>0</v>
      </c>
      <c r="R168" s="350"/>
      <c r="S168" s="343">
        <v>72202</v>
      </c>
      <c r="T168" s="343">
        <f t="shared" si="44"/>
        <v>0</v>
      </c>
      <c r="U168" s="350"/>
      <c r="V168" s="343">
        <v>72202</v>
      </c>
      <c r="W168" s="343">
        <f t="shared" si="45"/>
        <v>0</v>
      </c>
      <c r="X168" s="350"/>
      <c r="Y168" s="347">
        <v>11437</v>
      </c>
      <c r="Z168" s="348">
        <f t="shared" si="37"/>
        <v>0.15840281432647296</v>
      </c>
      <c r="AA168" s="348"/>
      <c r="AB168" s="349"/>
    </row>
    <row r="169" spans="2:28" s="10" customFormat="1" x14ac:dyDescent="0.25">
      <c r="C169" s="277" t="s">
        <v>107</v>
      </c>
      <c r="D169" s="278" t="s">
        <v>407</v>
      </c>
      <c r="E169" s="186">
        <v>24388.022834246818</v>
      </c>
      <c r="F169" s="189">
        <f>5500+2200</f>
        <v>7700</v>
      </c>
      <c r="G169" s="188">
        <f t="shared" ref="G169:M169" si="51">G170+G171</f>
        <v>8363.630000000001</v>
      </c>
      <c r="H169" s="187">
        <f t="shared" si="51"/>
        <v>2746</v>
      </c>
      <c r="I169" s="187">
        <f t="shared" si="51"/>
        <v>2000</v>
      </c>
      <c r="J169" s="187">
        <f t="shared" si="51"/>
        <v>0</v>
      </c>
      <c r="K169" s="187"/>
      <c r="L169" s="187">
        <f t="shared" si="51"/>
        <v>1537</v>
      </c>
      <c r="M169" s="189">
        <f t="shared" si="51"/>
        <v>6283</v>
      </c>
      <c r="N169" s="189">
        <f t="shared" si="32"/>
        <v>-2080.630000000001</v>
      </c>
      <c r="O169" s="190">
        <f>N169/G169</f>
        <v>-0.24877116754327974</v>
      </c>
      <c r="P169" s="189">
        <f>P170+P171</f>
        <v>6283</v>
      </c>
      <c r="Q169" s="189">
        <f t="shared" si="34"/>
        <v>0</v>
      </c>
      <c r="R169" s="190"/>
      <c r="S169" s="189">
        <f>S170+S171</f>
        <v>6283</v>
      </c>
      <c r="T169" s="189">
        <f t="shared" si="44"/>
        <v>0</v>
      </c>
      <c r="U169" s="190"/>
      <c r="V169" s="189">
        <f>V170+V171</f>
        <v>6283</v>
      </c>
      <c r="W169" s="189">
        <f t="shared" si="45"/>
        <v>0</v>
      </c>
      <c r="X169" s="190"/>
      <c r="Y169" s="191">
        <f>Y170+Y171</f>
        <v>563</v>
      </c>
      <c r="Z169" s="192">
        <f t="shared" si="37"/>
        <v>8.9606875696323418E-2</v>
      </c>
      <c r="AA169" s="192"/>
    </row>
    <row r="170" spans="2:28" s="339" customFormat="1" outlineLevel="1" x14ac:dyDescent="0.25">
      <c r="C170" s="340" t="s">
        <v>408</v>
      </c>
      <c r="D170" s="341" t="s">
        <v>409</v>
      </c>
      <c r="E170" s="342"/>
      <c r="F170" s="342"/>
      <c r="G170" s="344">
        <v>0</v>
      </c>
      <c r="H170" s="345"/>
      <c r="I170" s="345"/>
      <c r="J170" s="345"/>
      <c r="K170" s="345"/>
      <c r="L170" s="345">
        <v>1537</v>
      </c>
      <c r="M170" s="343">
        <f t="shared" si="50"/>
        <v>1537</v>
      </c>
      <c r="N170" s="343">
        <f t="shared" si="32"/>
        <v>1537</v>
      </c>
      <c r="O170" s="350"/>
      <c r="P170" s="343">
        <v>1537</v>
      </c>
      <c r="Q170" s="343">
        <f t="shared" si="34"/>
        <v>0</v>
      </c>
      <c r="R170" s="350"/>
      <c r="S170" s="343">
        <v>1537</v>
      </c>
      <c r="T170" s="343">
        <f t="shared" si="44"/>
        <v>0</v>
      </c>
      <c r="U170" s="350"/>
      <c r="V170" s="343">
        <v>1537</v>
      </c>
      <c r="W170" s="343">
        <f t="shared" si="45"/>
        <v>0</v>
      </c>
      <c r="X170" s="350"/>
      <c r="Y170" s="347"/>
      <c r="Z170" s="348">
        <f t="shared" si="37"/>
        <v>0</v>
      </c>
      <c r="AA170" s="348"/>
      <c r="AB170" s="349"/>
    </row>
    <row r="171" spans="2:28" s="339" customFormat="1" outlineLevel="1" x14ac:dyDescent="0.25">
      <c r="C171" s="340" t="s">
        <v>410</v>
      </c>
      <c r="D171" s="341" t="s">
        <v>411</v>
      </c>
      <c r="E171" s="342"/>
      <c r="F171" s="342"/>
      <c r="G171" s="344">
        <v>8363.630000000001</v>
      </c>
      <c r="H171" s="345">
        <f>H68</f>
        <v>2746</v>
      </c>
      <c r="I171" s="345">
        <f>I68</f>
        <v>2000</v>
      </c>
      <c r="J171" s="345"/>
      <c r="K171" s="345"/>
      <c r="L171" s="345"/>
      <c r="M171" s="343">
        <f t="shared" si="50"/>
        <v>4746</v>
      </c>
      <c r="N171" s="343">
        <f t="shared" si="32"/>
        <v>-3617.630000000001</v>
      </c>
      <c r="O171" s="350"/>
      <c r="P171" s="343">
        <v>4746</v>
      </c>
      <c r="Q171" s="343">
        <f t="shared" si="34"/>
        <v>0</v>
      </c>
      <c r="R171" s="350"/>
      <c r="S171" s="343">
        <v>4746</v>
      </c>
      <c r="T171" s="343">
        <f t="shared" si="44"/>
        <v>0</v>
      </c>
      <c r="U171" s="350"/>
      <c r="V171" s="343">
        <v>4746</v>
      </c>
      <c r="W171" s="343">
        <f t="shared" si="45"/>
        <v>0</v>
      </c>
      <c r="X171" s="350"/>
      <c r="Y171" s="347">
        <v>563</v>
      </c>
      <c r="Z171" s="348">
        <f t="shared" si="37"/>
        <v>0.11862621154656552</v>
      </c>
      <c r="AA171" s="348"/>
      <c r="AB171" s="349"/>
    </row>
    <row r="172" spans="2:28" s="10" customFormat="1" ht="17.25" customHeight="1" x14ac:dyDescent="0.25">
      <c r="C172" s="277" t="s">
        <v>412</v>
      </c>
      <c r="D172" s="278" t="s">
        <v>413</v>
      </c>
      <c r="E172" s="186">
        <f>32420.1342052692+7606</f>
        <v>40026.134205269205</v>
      </c>
      <c r="F172" s="189">
        <f>37980+4000</f>
        <v>41980</v>
      </c>
      <c r="G172" s="188">
        <f>44316+310</f>
        <v>44626</v>
      </c>
      <c r="H172" s="187"/>
      <c r="I172" s="187"/>
      <c r="J172" s="187"/>
      <c r="K172" s="187"/>
      <c r="L172" s="187">
        <f>[4]Izmaksu_veidi!BF60</f>
        <v>44034</v>
      </c>
      <c r="M172" s="189">
        <f>H172+I172+J172+K172+L172</f>
        <v>44034</v>
      </c>
      <c r="N172" s="189">
        <f t="shared" si="32"/>
        <v>-592</v>
      </c>
      <c r="O172" s="190">
        <f>N172/G172</f>
        <v>-1.326580916954242E-2</v>
      </c>
      <c r="P172" s="189">
        <v>44034</v>
      </c>
      <c r="Q172" s="189">
        <f t="shared" si="34"/>
        <v>0</v>
      </c>
      <c r="R172" s="190"/>
      <c r="S172" s="189">
        <v>44034</v>
      </c>
      <c r="T172" s="189">
        <f t="shared" si="44"/>
        <v>0</v>
      </c>
      <c r="U172" s="190"/>
      <c r="V172" s="189">
        <v>44034</v>
      </c>
      <c r="W172" s="189">
        <f t="shared" si="45"/>
        <v>0</v>
      </c>
      <c r="X172" s="190"/>
      <c r="Y172" s="191">
        <v>6505</v>
      </c>
      <c r="Z172" s="192">
        <f t="shared" si="37"/>
        <v>0.14772675659717491</v>
      </c>
      <c r="AA172" s="192"/>
    </row>
    <row r="173" spans="2:28" x14ac:dyDescent="0.25">
      <c r="C173" s="281" t="s">
        <v>112</v>
      </c>
      <c r="D173" s="282" t="s">
        <v>414</v>
      </c>
      <c r="E173" s="82">
        <f t="shared" ref="E173:L173" si="52">E174+E175+E186+E198+E201+E207+E208+E214+E222+E223+E224</f>
        <v>5979274.0153556326</v>
      </c>
      <c r="F173" s="83">
        <f t="shared" si="52"/>
        <v>6939764</v>
      </c>
      <c r="G173" s="84">
        <f t="shared" si="52"/>
        <v>7240625.9539992791</v>
      </c>
      <c r="H173" s="83">
        <f t="shared" si="52"/>
        <v>132967.37</v>
      </c>
      <c r="I173" s="83">
        <f t="shared" si="52"/>
        <v>2547179</v>
      </c>
      <c r="J173" s="83">
        <f t="shared" si="52"/>
        <v>0</v>
      </c>
      <c r="K173" s="83">
        <f t="shared" si="52"/>
        <v>1659929.23</v>
      </c>
      <c r="L173" s="83">
        <f t="shared" si="52"/>
        <v>4900394.8419944132</v>
      </c>
      <c r="M173" s="85">
        <f>M174+M175+M186+M198+M201+M207+M208+M214+M222+M223+M224</f>
        <v>9240470.4419944137</v>
      </c>
      <c r="N173" s="85">
        <f t="shared" si="32"/>
        <v>1999844.4879951347</v>
      </c>
      <c r="O173" s="86">
        <f>N173/G173</f>
        <v>0.27619773493347533</v>
      </c>
      <c r="P173" s="85">
        <f>P174+P175+P186+P198+P201+P207+P208+P214+P222+P223+P224</f>
        <v>9243170.4419944137</v>
      </c>
      <c r="Q173" s="85">
        <f t="shared" si="34"/>
        <v>2700</v>
      </c>
      <c r="R173" s="86"/>
      <c r="S173" s="85">
        <f>S174+S175+S186+S198+S201+S207+S208+S214+S222+S223+S224</f>
        <v>9243170.4419944137</v>
      </c>
      <c r="T173" s="85">
        <f t="shared" si="44"/>
        <v>0</v>
      </c>
      <c r="U173" s="86"/>
      <c r="V173" s="85">
        <f>V174+V175+V186+V198+V201+V207+V208+V214+V222+V223+V224</f>
        <v>9298170.4419944137</v>
      </c>
      <c r="W173" s="85">
        <f t="shared" si="45"/>
        <v>55000</v>
      </c>
      <c r="X173" s="86"/>
      <c r="Y173" s="87">
        <f>Y174+Y175+Y186+Y198+Y201+Y207+Y208+Y214+Y222+Y223+Y224</f>
        <v>1278274</v>
      </c>
      <c r="Z173" s="88">
        <f t="shared" si="37"/>
        <v>0.13747586237253534</v>
      </c>
      <c r="AA173" s="88"/>
      <c r="AB173" s="276"/>
    </row>
    <row r="174" spans="2:28" ht="33" customHeight="1" x14ac:dyDescent="0.25">
      <c r="B174" s="351" t="s">
        <v>415</v>
      </c>
      <c r="C174" s="277" t="s">
        <v>115</v>
      </c>
      <c r="D174" s="283" t="s">
        <v>416</v>
      </c>
      <c r="E174" s="186">
        <v>236196.72056505087</v>
      </c>
      <c r="F174" s="186">
        <v>240800</v>
      </c>
      <c r="G174" s="188">
        <v>197975</v>
      </c>
      <c r="H174" s="187"/>
      <c r="I174" s="187"/>
      <c r="J174" s="187"/>
      <c r="K174" s="187"/>
      <c r="L174" s="187">
        <f>[4]Kopsavilkums!K1452</f>
        <v>220219.89199999999</v>
      </c>
      <c r="M174" s="189">
        <f t="shared" si="50"/>
        <v>220219.89199999999</v>
      </c>
      <c r="N174" s="189">
        <f t="shared" si="32"/>
        <v>22244.891999999993</v>
      </c>
      <c r="O174" s="190">
        <f>N174/G174</f>
        <v>0.11236212653112763</v>
      </c>
      <c r="P174" s="189">
        <v>220219.89199999999</v>
      </c>
      <c r="Q174" s="189">
        <f t="shared" si="34"/>
        <v>0</v>
      </c>
      <c r="R174" s="190"/>
      <c r="S174" s="189">
        <v>220219.89199999999</v>
      </c>
      <c r="T174" s="189">
        <f t="shared" si="44"/>
        <v>0</v>
      </c>
      <c r="U174" s="190"/>
      <c r="V174" s="189">
        <v>220219.89199999999</v>
      </c>
      <c r="W174" s="189">
        <f t="shared" si="45"/>
        <v>0</v>
      </c>
      <c r="X174" s="190"/>
      <c r="Y174" s="191">
        <v>13016</v>
      </c>
      <c r="Z174" s="192">
        <f t="shared" si="37"/>
        <v>5.9104560817784799E-2</v>
      </c>
      <c r="AA174" s="193"/>
    </row>
    <row r="175" spans="2:28" ht="14.25" customHeight="1" x14ac:dyDescent="0.25">
      <c r="C175" s="277" t="s">
        <v>120</v>
      </c>
      <c r="D175" s="283" t="s">
        <v>417</v>
      </c>
      <c r="E175" s="186">
        <f>880694.918423913+2432+4220+750+12260+47560</f>
        <v>947916.91842391295</v>
      </c>
      <c r="F175" s="186">
        <f>F176+F180+F184</f>
        <v>1332785</v>
      </c>
      <c r="G175" s="188">
        <f>G176+G180+G184</f>
        <v>1121051</v>
      </c>
      <c r="H175" s="187">
        <f>H176</f>
        <v>2163</v>
      </c>
      <c r="I175" s="187">
        <f>I176+I180+I184+I185</f>
        <v>150185</v>
      </c>
      <c r="J175" s="187">
        <f>J176+J180+J184+J185</f>
        <v>0</v>
      </c>
      <c r="K175" s="187"/>
      <c r="L175" s="187">
        <f>L176+L180+L184</f>
        <v>1004148</v>
      </c>
      <c r="M175" s="189">
        <f>M176+M180+M184</f>
        <v>1156496</v>
      </c>
      <c r="N175" s="189">
        <f t="shared" si="32"/>
        <v>35445</v>
      </c>
      <c r="O175" s="190">
        <f>N175/G175</f>
        <v>3.1617651650103343E-2</v>
      </c>
      <c r="P175" s="189">
        <f>P176+P180+P184</f>
        <v>1156496</v>
      </c>
      <c r="Q175" s="189">
        <f t="shared" si="34"/>
        <v>0</v>
      </c>
      <c r="R175" s="190"/>
      <c r="S175" s="189">
        <f>S176+S180+S184</f>
        <v>1156496</v>
      </c>
      <c r="T175" s="189">
        <f t="shared" si="44"/>
        <v>0</v>
      </c>
      <c r="U175" s="190"/>
      <c r="V175" s="189">
        <f>V176+V180+V184</f>
        <v>1156496</v>
      </c>
      <c r="W175" s="189">
        <f t="shared" si="45"/>
        <v>0</v>
      </c>
      <c r="X175" s="190"/>
      <c r="Y175" s="191">
        <f>Y176+Y180</f>
        <v>212583</v>
      </c>
      <c r="Z175" s="192">
        <f t="shared" si="37"/>
        <v>0.18381645937383267</v>
      </c>
      <c r="AA175" s="192"/>
    </row>
    <row r="176" spans="2:28" ht="30" x14ac:dyDescent="0.25">
      <c r="C176" s="292" t="s">
        <v>418</v>
      </c>
      <c r="D176" s="236" t="s">
        <v>419</v>
      </c>
      <c r="E176" s="352" t="e">
        <f>E177+E178+1670.9+7148+5700+4350+630</f>
        <v>#REF!</v>
      </c>
      <c r="F176" s="116">
        <v>134203</v>
      </c>
      <c r="G176" s="353">
        <v>141174</v>
      </c>
      <c r="H176" s="116">
        <v>2163</v>
      </c>
      <c r="I176" s="116">
        <f>146592+3593</f>
        <v>150185</v>
      </c>
      <c r="J176" s="116">
        <f>J177+J178</f>
        <v>0</v>
      </c>
      <c r="K176" s="116"/>
      <c r="L176" s="116"/>
      <c r="M176" s="354">
        <f t="shared" si="50"/>
        <v>152348</v>
      </c>
      <c r="N176" s="354">
        <f t="shared" si="32"/>
        <v>11174</v>
      </c>
      <c r="O176" s="355"/>
      <c r="P176" s="354">
        <v>152348</v>
      </c>
      <c r="Q176" s="354">
        <f t="shared" si="34"/>
        <v>0</v>
      </c>
      <c r="R176" s="355"/>
      <c r="S176" s="354">
        <v>152348</v>
      </c>
      <c r="T176" s="354">
        <f t="shared" si="44"/>
        <v>0</v>
      </c>
      <c r="U176" s="355"/>
      <c r="V176" s="354">
        <v>152348</v>
      </c>
      <c r="W176" s="354">
        <f t="shared" si="45"/>
        <v>0</v>
      </c>
      <c r="X176" s="355"/>
      <c r="Y176" s="118">
        <v>24242</v>
      </c>
      <c r="Z176" s="119">
        <f t="shared" si="37"/>
        <v>0.15912253524824743</v>
      </c>
      <c r="AA176" s="119"/>
    </row>
    <row r="177" spans="3:28" s="68" customFormat="1" hidden="1" outlineLevel="1" x14ac:dyDescent="0.25">
      <c r="C177" s="68" t="s">
        <v>420</v>
      </c>
      <c r="D177" s="68" t="s">
        <v>421</v>
      </c>
      <c r="E177" s="356" t="e">
        <f>#REF!</f>
        <v>#REF!</v>
      </c>
      <c r="F177" s="26"/>
      <c r="G177" s="212">
        <v>0</v>
      </c>
      <c r="H177" s="26"/>
      <c r="I177" s="26"/>
      <c r="J177" s="26"/>
      <c r="K177" s="26"/>
      <c r="L177" s="26"/>
      <c r="M177" s="1">
        <f t="shared" si="50"/>
        <v>0</v>
      </c>
      <c r="N177" s="1">
        <f t="shared" si="32"/>
        <v>0</v>
      </c>
      <c r="O177" s="29"/>
      <c r="P177" s="1">
        <v>0</v>
      </c>
      <c r="Q177" s="1">
        <f t="shared" si="34"/>
        <v>0</v>
      </c>
      <c r="R177" s="29"/>
      <c r="S177" s="1">
        <v>0</v>
      </c>
      <c r="T177" s="1">
        <f t="shared" si="44"/>
        <v>0</v>
      </c>
      <c r="U177" s="29"/>
      <c r="V177" s="1">
        <v>0</v>
      </c>
      <c r="W177" s="1">
        <f t="shared" si="45"/>
        <v>0</v>
      </c>
      <c r="X177" s="29"/>
      <c r="Y177" s="213"/>
      <c r="Z177" s="30" t="e">
        <f t="shared" si="37"/>
        <v>#DIV/0!</v>
      </c>
      <c r="AA177" s="30"/>
      <c r="AB177" s="214"/>
    </row>
    <row r="178" spans="3:28" s="68" customFormat="1" hidden="1" outlineLevel="1" x14ac:dyDescent="0.25">
      <c r="C178" s="68" t="s">
        <v>422</v>
      </c>
      <c r="D178" s="68" t="s">
        <v>423</v>
      </c>
      <c r="E178" s="356" t="e">
        <f>#REF!</f>
        <v>#REF!</v>
      </c>
      <c r="F178" s="26"/>
      <c r="G178" s="212">
        <v>0</v>
      </c>
      <c r="H178" s="26"/>
      <c r="I178" s="26"/>
      <c r="J178" s="26">
        <f>J179</f>
        <v>0</v>
      </c>
      <c r="K178" s="26"/>
      <c r="L178" s="26"/>
      <c r="M178" s="1">
        <f t="shared" si="50"/>
        <v>0</v>
      </c>
      <c r="N178" s="1">
        <f t="shared" si="32"/>
        <v>0</v>
      </c>
      <c r="O178" s="29"/>
      <c r="P178" s="1">
        <v>0</v>
      </c>
      <c r="Q178" s="1">
        <f t="shared" si="34"/>
        <v>0</v>
      </c>
      <c r="R178" s="29"/>
      <c r="S178" s="1">
        <v>0</v>
      </c>
      <c r="T178" s="1">
        <f t="shared" si="44"/>
        <v>0</v>
      </c>
      <c r="U178" s="29"/>
      <c r="V178" s="1">
        <v>0</v>
      </c>
      <c r="W178" s="1">
        <f t="shared" si="45"/>
        <v>0</v>
      </c>
      <c r="X178" s="29"/>
      <c r="Y178" s="213"/>
      <c r="Z178" s="30" t="e">
        <f t="shared" si="37"/>
        <v>#DIV/0!</v>
      </c>
      <c r="AA178" s="30"/>
      <c r="AB178" s="214"/>
    </row>
    <row r="179" spans="3:28" s="68" customFormat="1" hidden="1" outlineLevel="1" x14ac:dyDescent="0.25">
      <c r="C179" s="68" t="s">
        <v>424</v>
      </c>
      <c r="D179" s="68" t="s">
        <v>425</v>
      </c>
      <c r="E179" s="356" t="e">
        <f>#REF!</f>
        <v>#REF!</v>
      </c>
      <c r="F179" s="26"/>
      <c r="G179" s="212">
        <v>0</v>
      </c>
      <c r="H179" s="26"/>
      <c r="I179" s="26"/>
      <c r="J179" s="26"/>
      <c r="K179" s="26"/>
      <c r="L179" s="26"/>
      <c r="M179" s="1">
        <f t="shared" si="50"/>
        <v>0</v>
      </c>
      <c r="N179" s="1">
        <f t="shared" si="32"/>
        <v>0</v>
      </c>
      <c r="O179" s="29"/>
      <c r="P179" s="1">
        <v>0</v>
      </c>
      <c r="Q179" s="1">
        <f t="shared" ref="Q179:Q234" si="53">P179-M179</f>
        <v>0</v>
      </c>
      <c r="R179" s="29"/>
      <c r="S179" s="1">
        <v>0</v>
      </c>
      <c r="T179" s="1">
        <f t="shared" si="44"/>
        <v>0</v>
      </c>
      <c r="U179" s="29"/>
      <c r="V179" s="1">
        <v>0</v>
      </c>
      <c r="W179" s="1">
        <f t="shared" si="45"/>
        <v>0</v>
      </c>
      <c r="X179" s="29"/>
      <c r="Y179" s="213"/>
      <c r="Z179" s="30" t="e">
        <f t="shared" ref="Z179:Z234" si="54">Y179/V179</f>
        <v>#DIV/0!</v>
      </c>
      <c r="AA179" s="30"/>
      <c r="AB179" s="214"/>
    </row>
    <row r="180" spans="3:28" ht="17.25" customHeight="1" collapsed="1" x14ac:dyDescent="0.25">
      <c r="C180" s="292" t="s">
        <v>426</v>
      </c>
      <c r="D180" s="236" t="s">
        <v>427</v>
      </c>
      <c r="E180" s="352" t="e">
        <f>SUM(E181:E183)</f>
        <v>#REF!</v>
      </c>
      <c r="F180" s="116">
        <v>1198582</v>
      </c>
      <c r="G180" s="353">
        <v>979877</v>
      </c>
      <c r="H180" s="116"/>
      <c r="I180" s="116"/>
      <c r="J180" s="116">
        <f>SUM(J181:J183)</f>
        <v>0</v>
      </c>
      <c r="K180" s="116"/>
      <c r="L180" s="116">
        <f>[4]Izmaksu_veidi!B60-[4]Izmaksu_veidi!B62</f>
        <v>1004148</v>
      </c>
      <c r="M180" s="354">
        <f t="shared" si="50"/>
        <v>1004148</v>
      </c>
      <c r="N180" s="354">
        <f t="shared" si="32"/>
        <v>24271</v>
      </c>
      <c r="O180" s="357"/>
      <c r="P180" s="354">
        <v>1004148</v>
      </c>
      <c r="Q180" s="354">
        <f t="shared" si="53"/>
        <v>0</v>
      </c>
      <c r="R180" s="357"/>
      <c r="S180" s="354">
        <v>1004148</v>
      </c>
      <c r="T180" s="354">
        <f t="shared" si="44"/>
        <v>0</v>
      </c>
      <c r="U180" s="357"/>
      <c r="V180" s="354">
        <v>1004148</v>
      </c>
      <c r="W180" s="354">
        <f t="shared" si="45"/>
        <v>0</v>
      </c>
      <c r="X180" s="357"/>
      <c r="Y180" s="118">
        <v>188341</v>
      </c>
      <c r="Z180" s="119">
        <f t="shared" si="54"/>
        <v>0.18756298872277791</v>
      </c>
      <c r="AA180" s="119"/>
    </row>
    <row r="181" spans="3:28" s="68" customFormat="1" hidden="1" outlineLevel="1" x14ac:dyDescent="0.25">
      <c r="C181" s="68" t="s">
        <v>428</v>
      </c>
      <c r="D181" s="68" t="s">
        <v>429</v>
      </c>
      <c r="E181" s="356" t="e">
        <f>#REF!</f>
        <v>#REF!</v>
      </c>
      <c r="F181" s="26"/>
      <c r="G181" s="212">
        <v>0</v>
      </c>
      <c r="H181" s="26"/>
      <c r="I181" s="26"/>
      <c r="J181" s="26"/>
      <c r="K181" s="26"/>
      <c r="L181" s="26"/>
      <c r="M181" s="1">
        <f t="shared" si="50"/>
        <v>0</v>
      </c>
      <c r="N181" s="1">
        <f t="shared" si="32"/>
        <v>0</v>
      </c>
      <c r="O181" s="29"/>
      <c r="P181" s="1">
        <v>0</v>
      </c>
      <c r="Q181" s="1">
        <f t="shared" si="53"/>
        <v>0</v>
      </c>
      <c r="R181" s="29"/>
      <c r="S181" s="1">
        <v>0</v>
      </c>
      <c r="T181" s="1">
        <f t="shared" si="44"/>
        <v>0</v>
      </c>
      <c r="U181" s="29"/>
      <c r="V181" s="1">
        <v>0</v>
      </c>
      <c r="W181" s="1">
        <f t="shared" si="45"/>
        <v>0</v>
      </c>
      <c r="X181" s="29"/>
      <c r="Y181" s="213"/>
      <c r="Z181" s="30" t="e">
        <f t="shared" si="54"/>
        <v>#DIV/0!</v>
      </c>
      <c r="AA181" s="30"/>
      <c r="AB181" s="214"/>
    </row>
    <row r="182" spans="3:28" s="68" customFormat="1" hidden="1" outlineLevel="1" x14ac:dyDescent="0.25">
      <c r="C182" s="68" t="s">
        <v>430</v>
      </c>
      <c r="D182" s="68" t="s">
        <v>431</v>
      </c>
      <c r="E182" s="356" t="e">
        <f>#REF!</f>
        <v>#REF!</v>
      </c>
      <c r="F182" s="26"/>
      <c r="G182" s="212">
        <v>0</v>
      </c>
      <c r="H182" s="26"/>
      <c r="I182" s="26"/>
      <c r="J182" s="26"/>
      <c r="K182" s="26"/>
      <c r="L182" s="26"/>
      <c r="M182" s="1">
        <f t="shared" si="50"/>
        <v>0</v>
      </c>
      <c r="N182" s="1">
        <f t="shared" si="32"/>
        <v>0</v>
      </c>
      <c r="O182" s="29"/>
      <c r="P182" s="1">
        <v>0</v>
      </c>
      <c r="Q182" s="1">
        <f t="shared" si="53"/>
        <v>0</v>
      </c>
      <c r="R182" s="29"/>
      <c r="S182" s="1">
        <v>0</v>
      </c>
      <c r="T182" s="1">
        <f t="shared" si="44"/>
        <v>0</v>
      </c>
      <c r="U182" s="29"/>
      <c r="V182" s="1">
        <v>0</v>
      </c>
      <c r="W182" s="1">
        <f t="shared" si="45"/>
        <v>0</v>
      </c>
      <c r="X182" s="29"/>
      <c r="Y182" s="213"/>
      <c r="Z182" s="30" t="e">
        <f t="shared" si="54"/>
        <v>#DIV/0!</v>
      </c>
      <c r="AA182" s="30"/>
      <c r="AB182" s="214"/>
    </row>
    <row r="183" spans="3:28" s="68" customFormat="1" hidden="1" outlineLevel="1" x14ac:dyDescent="0.25">
      <c r="C183" s="68" t="s">
        <v>432</v>
      </c>
      <c r="D183" s="68" t="s">
        <v>433</v>
      </c>
      <c r="E183" s="356" t="e">
        <f>#REF!</f>
        <v>#REF!</v>
      </c>
      <c r="F183" s="26"/>
      <c r="G183" s="212">
        <v>0</v>
      </c>
      <c r="H183" s="26"/>
      <c r="I183" s="26"/>
      <c r="J183" s="26"/>
      <c r="K183" s="26"/>
      <c r="L183" s="26"/>
      <c r="M183" s="1">
        <f t="shared" si="50"/>
        <v>0</v>
      </c>
      <c r="N183" s="1">
        <f t="shared" ref="N183:N234" si="55">M183-G183</f>
        <v>0</v>
      </c>
      <c r="O183" s="29"/>
      <c r="P183" s="1">
        <v>0</v>
      </c>
      <c r="Q183" s="1">
        <f t="shared" si="53"/>
        <v>0</v>
      </c>
      <c r="R183" s="29"/>
      <c r="S183" s="1">
        <v>0</v>
      </c>
      <c r="T183" s="1">
        <f t="shared" si="44"/>
        <v>0</v>
      </c>
      <c r="U183" s="29"/>
      <c r="V183" s="1">
        <v>0</v>
      </c>
      <c r="W183" s="1">
        <f t="shared" si="45"/>
        <v>0</v>
      </c>
      <c r="X183" s="29"/>
      <c r="Y183" s="213"/>
      <c r="Z183" s="30" t="e">
        <f t="shared" si="54"/>
        <v>#DIV/0!</v>
      </c>
      <c r="AA183" s="30"/>
      <c r="AB183" s="214"/>
    </row>
    <row r="184" spans="3:28" collapsed="1" x14ac:dyDescent="0.25">
      <c r="C184" s="292" t="s">
        <v>434</v>
      </c>
      <c r="D184" s="236" t="s">
        <v>435</v>
      </c>
      <c r="E184" s="358" t="e">
        <f>#REF!</f>
        <v>#REF!</v>
      </c>
      <c r="F184" s="359"/>
      <c r="G184" s="360">
        <v>0</v>
      </c>
      <c r="H184" s="359"/>
      <c r="I184" s="116"/>
      <c r="J184" s="116"/>
      <c r="K184" s="116"/>
      <c r="L184" s="359"/>
      <c r="M184" s="361">
        <f t="shared" si="50"/>
        <v>0</v>
      </c>
      <c r="N184" s="361">
        <f t="shared" si="55"/>
        <v>0</v>
      </c>
      <c r="O184" s="362"/>
      <c r="P184" s="361">
        <v>0</v>
      </c>
      <c r="Q184" s="361">
        <f t="shared" si="53"/>
        <v>0</v>
      </c>
      <c r="R184" s="362"/>
      <c r="S184" s="361">
        <v>0</v>
      </c>
      <c r="T184" s="361">
        <f t="shared" si="44"/>
        <v>0</v>
      </c>
      <c r="U184" s="362"/>
      <c r="V184" s="361">
        <v>0</v>
      </c>
      <c r="W184" s="361">
        <f t="shared" si="45"/>
        <v>0</v>
      </c>
      <c r="X184" s="362"/>
      <c r="Y184" s="363"/>
      <c r="Z184" s="364"/>
      <c r="AA184" s="364"/>
    </row>
    <row r="185" spans="3:28" s="123" customFormat="1" hidden="1" outlineLevel="1" x14ac:dyDescent="0.25">
      <c r="C185" s="68" t="s">
        <v>436</v>
      </c>
      <c r="D185" s="68" t="s">
        <v>437</v>
      </c>
      <c r="E185" s="211"/>
      <c r="F185" s="26"/>
      <c r="G185" s="212"/>
      <c r="H185" s="26"/>
      <c r="I185" s="129"/>
      <c r="J185" s="129"/>
      <c r="K185" s="365"/>
      <c r="L185" s="26"/>
      <c r="M185" s="1"/>
      <c r="N185" s="1">
        <f t="shared" si="55"/>
        <v>0</v>
      </c>
      <c r="O185" s="29"/>
      <c r="P185" s="1"/>
      <c r="Q185" s="1">
        <f t="shared" si="53"/>
        <v>0</v>
      </c>
      <c r="R185" s="29"/>
      <c r="S185" s="1"/>
      <c r="T185" s="1">
        <f t="shared" si="44"/>
        <v>0</v>
      </c>
      <c r="U185" s="29"/>
      <c r="V185" s="1"/>
      <c r="W185" s="1">
        <f t="shared" si="45"/>
        <v>0</v>
      </c>
      <c r="X185" s="29"/>
      <c r="Y185" s="213"/>
      <c r="Z185" s="30" t="e">
        <f t="shared" si="54"/>
        <v>#DIV/0!</v>
      </c>
      <c r="AA185" s="30"/>
      <c r="AB185" s="134"/>
    </row>
    <row r="186" spans="3:28" ht="15" customHeight="1" collapsed="1" x14ac:dyDescent="0.25">
      <c r="C186" s="277" t="s">
        <v>123</v>
      </c>
      <c r="D186" s="283" t="s">
        <v>438</v>
      </c>
      <c r="E186" s="186">
        <f>722113.542854053+338+3594+5795+33860</f>
        <v>765700.54285405297</v>
      </c>
      <c r="F186" s="187">
        <f>F187+F191+F195+F197</f>
        <v>845085</v>
      </c>
      <c r="G186" s="188">
        <f>G187+G191+G195+G197</f>
        <v>745797.44399927999</v>
      </c>
      <c r="H186" s="187"/>
      <c r="I186" s="187">
        <f>I187+I191+I195+I196+I197</f>
        <v>53750</v>
      </c>
      <c r="J186" s="187">
        <f>J187+J191+J195+J196+J197</f>
        <v>0</v>
      </c>
      <c r="K186" s="187"/>
      <c r="L186" s="187">
        <f>L187+L191+L195+L197</f>
        <v>644228</v>
      </c>
      <c r="M186" s="189">
        <f>M187+M191+M195+M197</f>
        <v>697978</v>
      </c>
      <c r="N186" s="189">
        <f t="shared" si="55"/>
        <v>-47819.443999279989</v>
      </c>
      <c r="O186" s="190">
        <f>N186/G186</f>
        <v>-6.4118541011419922E-2</v>
      </c>
      <c r="P186" s="189">
        <f>P187+P191+P195+P197</f>
        <v>697978</v>
      </c>
      <c r="Q186" s="189">
        <f t="shared" si="53"/>
        <v>0</v>
      </c>
      <c r="R186" s="190"/>
      <c r="S186" s="189">
        <f>S187+S191+S195+S197</f>
        <v>697978</v>
      </c>
      <c r="T186" s="189">
        <f t="shared" si="44"/>
        <v>0</v>
      </c>
      <c r="U186" s="190"/>
      <c r="V186" s="189">
        <f>V187+V191+V195+V197</f>
        <v>697978</v>
      </c>
      <c r="W186" s="189">
        <f t="shared" si="45"/>
        <v>0</v>
      </c>
      <c r="X186" s="190"/>
      <c r="Y186" s="191">
        <f>Y187+Y191+Y197</f>
        <v>115936</v>
      </c>
      <c r="Z186" s="192">
        <f t="shared" si="54"/>
        <v>0.16610265653072159</v>
      </c>
      <c r="AA186" s="192"/>
      <c r="AB186" s="276"/>
    </row>
    <row r="187" spans="3:28" ht="30" x14ac:dyDescent="0.25">
      <c r="C187" s="292" t="s">
        <v>439</v>
      </c>
      <c r="D187" s="236" t="s">
        <v>419</v>
      </c>
      <c r="E187" s="366" t="e">
        <f>#REF!-2276+26500+3750+2250</f>
        <v>#REF!</v>
      </c>
      <c r="F187" s="72">
        <v>60317</v>
      </c>
      <c r="G187" s="73">
        <v>50113</v>
      </c>
      <c r="H187" s="72"/>
      <c r="I187" s="72">
        <f>52464+1286</f>
        <v>53750</v>
      </c>
      <c r="J187" s="72">
        <f>J188+J189</f>
        <v>0</v>
      </c>
      <c r="K187" s="72"/>
      <c r="L187" s="72">
        <v>0</v>
      </c>
      <c r="M187" s="74">
        <f t="shared" ref="M187:M197" si="56">H187+I187+J187+K187+L187</f>
        <v>53750</v>
      </c>
      <c r="N187" s="74">
        <f t="shared" si="55"/>
        <v>3637</v>
      </c>
      <c r="O187" s="75"/>
      <c r="P187" s="74">
        <v>53750</v>
      </c>
      <c r="Q187" s="74">
        <f t="shared" si="53"/>
        <v>0</v>
      </c>
      <c r="R187" s="75"/>
      <c r="S187" s="74">
        <v>53750</v>
      </c>
      <c r="T187" s="74">
        <f t="shared" si="44"/>
        <v>0</v>
      </c>
      <c r="U187" s="75"/>
      <c r="V187" s="74">
        <v>53750</v>
      </c>
      <c r="W187" s="74">
        <f t="shared" si="45"/>
        <v>0</v>
      </c>
      <c r="X187" s="75"/>
      <c r="Y187" s="76">
        <v>8228</v>
      </c>
      <c r="Z187" s="77">
        <f t="shared" si="54"/>
        <v>0.15307906976744187</v>
      </c>
      <c r="AA187" s="77"/>
    </row>
    <row r="188" spans="3:28" s="68" customFormat="1" hidden="1" outlineLevel="1" x14ac:dyDescent="0.25">
      <c r="C188" s="68" t="s">
        <v>440</v>
      </c>
      <c r="D188" s="68" t="s">
        <v>421</v>
      </c>
      <c r="E188" s="356" t="e">
        <f>#REF!</f>
        <v>#REF!</v>
      </c>
      <c r="F188" s="26"/>
      <c r="G188" s="212">
        <v>0</v>
      </c>
      <c r="H188" s="26"/>
      <c r="I188" s="26"/>
      <c r="J188" s="26"/>
      <c r="K188" s="26"/>
      <c r="L188" s="26"/>
      <c r="M188" s="1">
        <f t="shared" si="56"/>
        <v>0</v>
      </c>
      <c r="N188" s="1">
        <f t="shared" si="55"/>
        <v>0</v>
      </c>
      <c r="O188" s="29"/>
      <c r="P188" s="1">
        <v>0</v>
      </c>
      <c r="Q188" s="1">
        <f t="shared" si="53"/>
        <v>0</v>
      </c>
      <c r="R188" s="29"/>
      <c r="S188" s="1">
        <v>0</v>
      </c>
      <c r="T188" s="1">
        <f t="shared" si="44"/>
        <v>0</v>
      </c>
      <c r="U188" s="29"/>
      <c r="V188" s="1">
        <v>0</v>
      </c>
      <c r="W188" s="1">
        <f t="shared" si="45"/>
        <v>0</v>
      </c>
      <c r="X188" s="29"/>
      <c r="Y188" s="213"/>
      <c r="Z188" s="30" t="e">
        <f t="shared" si="54"/>
        <v>#DIV/0!</v>
      </c>
      <c r="AA188" s="30"/>
      <c r="AB188" s="214"/>
    </row>
    <row r="189" spans="3:28" s="68" customFormat="1" hidden="1" outlineLevel="1" x14ac:dyDescent="0.25">
      <c r="C189" s="68" t="s">
        <v>441</v>
      </c>
      <c r="D189" s="68" t="s">
        <v>423</v>
      </c>
      <c r="E189" s="356" t="e">
        <f>#REF!</f>
        <v>#REF!</v>
      </c>
      <c r="F189" s="26"/>
      <c r="G189" s="212"/>
      <c r="H189" s="26"/>
      <c r="I189" s="26"/>
      <c r="J189" s="26"/>
      <c r="K189" s="26"/>
      <c r="L189" s="26"/>
      <c r="M189" s="1">
        <f t="shared" si="56"/>
        <v>0</v>
      </c>
      <c r="N189" s="1">
        <f t="shared" si="55"/>
        <v>0</v>
      </c>
      <c r="O189" s="29"/>
      <c r="P189" s="1">
        <v>0</v>
      </c>
      <c r="Q189" s="1">
        <f t="shared" si="53"/>
        <v>0</v>
      </c>
      <c r="R189" s="29"/>
      <c r="S189" s="1">
        <v>0</v>
      </c>
      <c r="T189" s="1">
        <f t="shared" si="44"/>
        <v>0</v>
      </c>
      <c r="U189" s="29"/>
      <c r="V189" s="1">
        <v>0</v>
      </c>
      <c r="W189" s="1">
        <f t="shared" si="45"/>
        <v>0</v>
      </c>
      <c r="X189" s="29"/>
      <c r="Y189" s="213"/>
      <c r="Z189" s="30" t="e">
        <f t="shared" si="54"/>
        <v>#DIV/0!</v>
      </c>
      <c r="AA189" s="30"/>
      <c r="AB189" s="214"/>
    </row>
    <row r="190" spans="3:28" s="68" customFormat="1" hidden="1" outlineLevel="1" x14ac:dyDescent="0.25">
      <c r="C190" s="68" t="s">
        <v>442</v>
      </c>
      <c r="D190" s="68" t="s">
        <v>425</v>
      </c>
      <c r="E190" s="356" t="e">
        <f>#REF!</f>
        <v>#REF!</v>
      </c>
      <c r="F190" s="26"/>
      <c r="G190" s="212"/>
      <c r="H190" s="26"/>
      <c r="I190" s="26"/>
      <c r="J190" s="26"/>
      <c r="K190" s="26"/>
      <c r="L190" s="26"/>
      <c r="M190" s="1">
        <f t="shared" si="56"/>
        <v>0</v>
      </c>
      <c r="N190" s="1">
        <f t="shared" si="55"/>
        <v>0</v>
      </c>
      <c r="O190" s="29"/>
      <c r="P190" s="1">
        <v>0</v>
      </c>
      <c r="Q190" s="1">
        <f t="shared" si="53"/>
        <v>0</v>
      </c>
      <c r="R190" s="29"/>
      <c r="S190" s="1">
        <v>0</v>
      </c>
      <c r="T190" s="1">
        <f t="shared" si="44"/>
        <v>0</v>
      </c>
      <c r="U190" s="29"/>
      <c r="V190" s="1">
        <v>0</v>
      </c>
      <c r="W190" s="1">
        <f t="shared" si="45"/>
        <v>0</v>
      </c>
      <c r="X190" s="29"/>
      <c r="Y190" s="213"/>
      <c r="Z190" s="30" t="e">
        <f t="shared" si="54"/>
        <v>#DIV/0!</v>
      </c>
      <c r="AA190" s="30"/>
      <c r="AB190" s="214"/>
    </row>
    <row r="191" spans="3:28" collapsed="1" x14ac:dyDescent="0.25">
      <c r="C191" s="292" t="s">
        <v>443</v>
      </c>
      <c r="D191" s="236" t="s">
        <v>427</v>
      </c>
      <c r="E191" s="366" t="e">
        <f>SUM(E192:E194)</f>
        <v>#REF!</v>
      </c>
      <c r="F191" s="72">
        <v>657086</v>
      </c>
      <c r="G191" s="73">
        <v>695684.44399927999</v>
      </c>
      <c r="H191" s="72"/>
      <c r="I191" s="72"/>
      <c r="J191" s="72">
        <f>SUM(J192:J194)</f>
        <v>0</v>
      </c>
      <c r="K191" s="72"/>
      <c r="L191" s="72">
        <f>[4]Izmaksu_veidi!C60-[4]Izmaksu_veidi!C62</f>
        <v>644228</v>
      </c>
      <c r="M191" s="74">
        <f t="shared" si="56"/>
        <v>644228</v>
      </c>
      <c r="N191" s="74">
        <f t="shared" si="55"/>
        <v>-51456.443999279989</v>
      </c>
      <c r="O191" s="357"/>
      <c r="P191" s="74">
        <v>644228</v>
      </c>
      <c r="Q191" s="74">
        <f t="shared" si="53"/>
        <v>0</v>
      </c>
      <c r="R191" s="357"/>
      <c r="S191" s="74">
        <v>644228</v>
      </c>
      <c r="T191" s="74">
        <f t="shared" si="44"/>
        <v>0</v>
      </c>
      <c r="U191" s="357"/>
      <c r="V191" s="74">
        <v>644228</v>
      </c>
      <c r="W191" s="74">
        <f t="shared" si="45"/>
        <v>0</v>
      </c>
      <c r="X191" s="357"/>
      <c r="Y191" s="76">
        <v>107708</v>
      </c>
      <c r="Z191" s="77">
        <f t="shared" si="54"/>
        <v>0.16718925597769735</v>
      </c>
      <c r="AA191" s="77"/>
    </row>
    <row r="192" spans="3:28" s="68" customFormat="1" hidden="1" outlineLevel="1" x14ac:dyDescent="0.25">
      <c r="C192" s="68" t="s">
        <v>444</v>
      </c>
      <c r="D192" s="68" t="s">
        <v>429</v>
      </c>
      <c r="E192" s="356" t="e">
        <f>#REF!</f>
        <v>#REF!</v>
      </c>
      <c r="F192" s="26"/>
      <c r="G192" s="212">
        <v>0</v>
      </c>
      <c r="H192" s="26"/>
      <c r="I192" s="26"/>
      <c r="J192" s="26"/>
      <c r="K192" s="26"/>
      <c r="L192" s="26"/>
      <c r="M192" s="1">
        <f t="shared" si="56"/>
        <v>0</v>
      </c>
      <c r="N192" s="1">
        <f t="shared" si="55"/>
        <v>0</v>
      </c>
      <c r="O192" s="29"/>
      <c r="P192" s="1">
        <v>0</v>
      </c>
      <c r="Q192" s="1">
        <f t="shared" si="53"/>
        <v>0</v>
      </c>
      <c r="R192" s="29"/>
      <c r="S192" s="1">
        <v>0</v>
      </c>
      <c r="T192" s="1">
        <f t="shared" si="44"/>
        <v>0</v>
      </c>
      <c r="U192" s="29"/>
      <c r="V192" s="1">
        <v>0</v>
      </c>
      <c r="W192" s="1">
        <f t="shared" si="45"/>
        <v>0</v>
      </c>
      <c r="X192" s="29"/>
      <c r="Y192" s="213"/>
      <c r="Z192" s="30" t="e">
        <f t="shared" si="54"/>
        <v>#DIV/0!</v>
      </c>
      <c r="AA192" s="30"/>
      <c r="AB192" s="214"/>
    </row>
    <row r="193" spans="3:29" s="68" customFormat="1" hidden="1" outlineLevel="1" x14ac:dyDescent="0.25">
      <c r="C193" s="68" t="s">
        <v>445</v>
      </c>
      <c r="D193" s="68" t="s">
        <v>431</v>
      </c>
      <c r="E193" s="356" t="e">
        <f>#REF!</f>
        <v>#REF!</v>
      </c>
      <c r="F193" s="26"/>
      <c r="G193" s="212">
        <v>0</v>
      </c>
      <c r="H193" s="26"/>
      <c r="I193" s="26"/>
      <c r="J193" s="26"/>
      <c r="K193" s="26"/>
      <c r="L193" s="26"/>
      <c r="M193" s="1">
        <f t="shared" si="56"/>
        <v>0</v>
      </c>
      <c r="N193" s="1">
        <f t="shared" si="55"/>
        <v>0</v>
      </c>
      <c r="O193" s="29"/>
      <c r="P193" s="1">
        <v>0</v>
      </c>
      <c r="Q193" s="1">
        <f t="shared" si="53"/>
        <v>0</v>
      </c>
      <c r="R193" s="29"/>
      <c r="S193" s="1">
        <v>0</v>
      </c>
      <c r="T193" s="1">
        <f t="shared" si="44"/>
        <v>0</v>
      </c>
      <c r="U193" s="29"/>
      <c r="V193" s="1">
        <v>0</v>
      </c>
      <c r="W193" s="1">
        <f t="shared" si="45"/>
        <v>0</v>
      </c>
      <c r="X193" s="29"/>
      <c r="Y193" s="213"/>
      <c r="Z193" s="30" t="e">
        <f t="shared" si="54"/>
        <v>#DIV/0!</v>
      </c>
      <c r="AA193" s="30"/>
      <c r="AB193" s="214"/>
    </row>
    <row r="194" spans="3:29" s="68" customFormat="1" hidden="1" outlineLevel="1" x14ac:dyDescent="0.25">
      <c r="C194" s="68" t="s">
        <v>446</v>
      </c>
      <c r="D194" s="68" t="s">
        <v>447</v>
      </c>
      <c r="E194" s="356" t="e">
        <f>#REF!</f>
        <v>#REF!</v>
      </c>
      <c r="F194" s="26"/>
      <c r="G194" s="212">
        <v>0</v>
      </c>
      <c r="H194" s="26"/>
      <c r="I194" s="26"/>
      <c r="J194" s="26"/>
      <c r="K194" s="26"/>
      <c r="L194" s="26"/>
      <c r="M194" s="1">
        <f t="shared" si="56"/>
        <v>0</v>
      </c>
      <c r="N194" s="1">
        <f t="shared" si="55"/>
        <v>0</v>
      </c>
      <c r="O194" s="29"/>
      <c r="P194" s="1">
        <v>0</v>
      </c>
      <c r="Q194" s="1">
        <f t="shared" si="53"/>
        <v>0</v>
      </c>
      <c r="R194" s="29"/>
      <c r="S194" s="1">
        <v>0</v>
      </c>
      <c r="T194" s="1">
        <f t="shared" si="44"/>
        <v>0</v>
      </c>
      <c r="U194" s="29"/>
      <c r="V194" s="1">
        <v>0</v>
      </c>
      <c r="W194" s="1">
        <f t="shared" si="45"/>
        <v>0</v>
      </c>
      <c r="X194" s="29"/>
      <c r="Y194" s="213"/>
      <c r="Z194" s="30" t="e">
        <f t="shared" si="54"/>
        <v>#DIV/0!</v>
      </c>
      <c r="AA194" s="30"/>
      <c r="AB194" s="214"/>
    </row>
    <row r="195" spans="3:29" collapsed="1" x14ac:dyDescent="0.25">
      <c r="C195" s="292" t="s">
        <v>448</v>
      </c>
      <c r="D195" s="236" t="s">
        <v>435</v>
      </c>
      <c r="E195" s="358" t="e">
        <f>#REF!</f>
        <v>#REF!</v>
      </c>
      <c r="F195" s="359"/>
      <c r="G195" s="360">
        <v>0</v>
      </c>
      <c r="H195" s="359"/>
      <c r="I195" s="72"/>
      <c r="J195" s="72"/>
      <c r="K195" s="72"/>
      <c r="L195" s="359"/>
      <c r="M195" s="361">
        <f t="shared" si="56"/>
        <v>0</v>
      </c>
      <c r="N195" s="361">
        <f t="shared" si="55"/>
        <v>0</v>
      </c>
      <c r="O195" s="362"/>
      <c r="P195" s="361">
        <v>0</v>
      </c>
      <c r="Q195" s="361">
        <f t="shared" si="53"/>
        <v>0</v>
      </c>
      <c r="R195" s="362"/>
      <c r="S195" s="361">
        <v>0</v>
      </c>
      <c r="T195" s="361">
        <f t="shared" si="44"/>
        <v>0</v>
      </c>
      <c r="U195" s="362"/>
      <c r="V195" s="361">
        <v>0</v>
      </c>
      <c r="W195" s="361">
        <f t="shared" si="45"/>
        <v>0</v>
      </c>
      <c r="X195" s="362"/>
      <c r="Y195" s="363"/>
      <c r="Z195" s="364"/>
      <c r="AA195" s="364"/>
    </row>
    <row r="196" spans="3:29" s="123" customFormat="1" hidden="1" outlineLevel="1" x14ac:dyDescent="0.25">
      <c r="C196" s="68" t="s">
        <v>449</v>
      </c>
      <c r="D196" s="68" t="s">
        <v>437</v>
      </c>
      <c r="E196" s="211"/>
      <c r="F196" s="26"/>
      <c r="G196" s="212">
        <v>0</v>
      </c>
      <c r="H196" s="26"/>
      <c r="I196" s="129">
        <v>0</v>
      </c>
      <c r="J196" s="129"/>
      <c r="K196" s="365"/>
      <c r="L196" s="26"/>
      <c r="M196" s="1">
        <f t="shared" si="56"/>
        <v>0</v>
      </c>
      <c r="N196" s="1">
        <f t="shared" si="55"/>
        <v>0</v>
      </c>
      <c r="O196" s="29"/>
      <c r="P196" s="1">
        <v>0</v>
      </c>
      <c r="Q196" s="1">
        <f t="shared" si="53"/>
        <v>0</v>
      </c>
      <c r="R196" s="29"/>
      <c r="S196" s="1">
        <v>0</v>
      </c>
      <c r="T196" s="1">
        <f t="shared" si="44"/>
        <v>0</v>
      </c>
      <c r="U196" s="29"/>
      <c r="V196" s="1">
        <v>0</v>
      </c>
      <c r="W196" s="1">
        <f t="shared" si="45"/>
        <v>0</v>
      </c>
      <c r="X196" s="29"/>
      <c r="Y196" s="213"/>
      <c r="Z196" s="30"/>
      <c r="AA196" s="30"/>
      <c r="AB196" s="134"/>
    </row>
    <row r="197" spans="3:29" s="371" customFormat="1" ht="29.25" collapsed="1" x14ac:dyDescent="0.25">
      <c r="C197" s="367" t="s">
        <v>449</v>
      </c>
      <c r="D197" s="368" t="s">
        <v>450</v>
      </c>
      <c r="E197" s="369">
        <v>128769.8988622717</v>
      </c>
      <c r="F197" s="116">
        <v>127682</v>
      </c>
      <c r="G197" s="353">
        <v>0</v>
      </c>
      <c r="H197" s="116"/>
      <c r="I197" s="116"/>
      <c r="J197" s="116"/>
      <c r="K197" s="116"/>
      <c r="L197" s="116">
        <v>0</v>
      </c>
      <c r="M197" s="354">
        <f t="shared" si="56"/>
        <v>0</v>
      </c>
      <c r="N197" s="354">
        <f t="shared" si="55"/>
        <v>0</v>
      </c>
      <c r="O197" s="355"/>
      <c r="P197" s="354">
        <v>0</v>
      </c>
      <c r="Q197" s="354">
        <f t="shared" si="53"/>
        <v>0</v>
      </c>
      <c r="R197" s="355"/>
      <c r="S197" s="354">
        <v>0</v>
      </c>
      <c r="T197" s="354">
        <f t="shared" si="44"/>
        <v>0</v>
      </c>
      <c r="U197" s="355"/>
      <c r="V197" s="354">
        <v>0</v>
      </c>
      <c r="W197" s="354">
        <f t="shared" si="45"/>
        <v>0</v>
      </c>
      <c r="X197" s="355"/>
      <c r="Y197" s="118"/>
      <c r="Z197" s="119"/>
      <c r="AA197" s="119"/>
      <c r="AB197" s="370"/>
    </row>
    <row r="198" spans="3:29" x14ac:dyDescent="0.25">
      <c r="C198" s="277" t="s">
        <v>451</v>
      </c>
      <c r="D198" s="283" t="s">
        <v>452</v>
      </c>
      <c r="E198" s="186">
        <f>E199+E200</f>
        <v>654071.40539894486</v>
      </c>
      <c r="F198" s="187">
        <f>(F199+F200)</f>
        <v>772751</v>
      </c>
      <c r="G198" s="188">
        <f>(G199+G200)</f>
        <v>946319.6</v>
      </c>
      <c r="H198" s="187">
        <f>H199+H200</f>
        <v>3642</v>
      </c>
      <c r="I198" s="187">
        <f>I199+I200</f>
        <v>37346</v>
      </c>
      <c r="J198" s="187"/>
      <c r="K198" s="187"/>
      <c r="L198" s="187">
        <f>(L199+L200)</f>
        <v>1378566.3199944133</v>
      </c>
      <c r="M198" s="189">
        <f>(M199+M200)</f>
        <v>1419554.3199944133</v>
      </c>
      <c r="N198" s="189">
        <f t="shared" si="55"/>
        <v>473234.71999441332</v>
      </c>
      <c r="O198" s="190">
        <f>N198/G198</f>
        <v>0.50007916986440237</v>
      </c>
      <c r="P198" s="189">
        <f>(P199+P200)</f>
        <v>1419554.3199944133</v>
      </c>
      <c r="Q198" s="189">
        <f t="shared" si="53"/>
        <v>0</v>
      </c>
      <c r="R198" s="190"/>
      <c r="S198" s="189">
        <f>(S199+S200)</f>
        <v>1419554.3199944133</v>
      </c>
      <c r="T198" s="189">
        <f t="shared" si="44"/>
        <v>0</v>
      </c>
      <c r="U198" s="190"/>
      <c r="V198" s="189">
        <f>(V199+V200)</f>
        <v>1419554.3199944133</v>
      </c>
      <c r="W198" s="189">
        <f t="shared" si="45"/>
        <v>0</v>
      </c>
      <c r="X198" s="190"/>
      <c r="Y198" s="191">
        <f>Y199+Y200</f>
        <v>289915</v>
      </c>
      <c r="Z198" s="192">
        <f t="shared" si="54"/>
        <v>0.2042295922857964</v>
      </c>
      <c r="AA198" s="192"/>
      <c r="AB198" s="96"/>
      <c r="AC198" s="256"/>
    </row>
    <row r="199" spans="3:29" s="371" customFormat="1" x14ac:dyDescent="0.25">
      <c r="C199" s="367" t="s">
        <v>453</v>
      </c>
      <c r="D199" s="372" t="s">
        <v>454</v>
      </c>
      <c r="E199" s="71">
        <v>184523.70789010878</v>
      </c>
      <c r="F199" s="116">
        <v>190751</v>
      </c>
      <c r="G199" s="353">
        <f>236300-100</f>
        <v>236200</v>
      </c>
      <c r="H199" s="72">
        <f>3642</f>
        <v>3642</v>
      </c>
      <c r="I199" s="72">
        <v>37346</v>
      </c>
      <c r="J199" s="72"/>
      <c r="K199" s="72"/>
      <c r="L199" s="116">
        <f>[4]Izmaksu_veidi!I60-[4]Izmaksu_veidi!I62</f>
        <v>223227</v>
      </c>
      <c r="M199" s="354">
        <f>H199+I199+J199+K199+L199</f>
        <v>264215</v>
      </c>
      <c r="N199" s="354">
        <f t="shared" si="55"/>
        <v>28015</v>
      </c>
      <c r="O199" s="355">
        <f>N199/G199</f>
        <v>0.11860711261642676</v>
      </c>
      <c r="P199" s="354">
        <v>264215</v>
      </c>
      <c r="Q199" s="354">
        <f t="shared" si="53"/>
        <v>0</v>
      </c>
      <c r="R199" s="355"/>
      <c r="S199" s="354">
        <v>264215</v>
      </c>
      <c r="T199" s="354">
        <f t="shared" si="44"/>
        <v>0</v>
      </c>
      <c r="U199" s="355"/>
      <c r="V199" s="354">
        <v>264215</v>
      </c>
      <c r="W199" s="354">
        <f t="shared" si="45"/>
        <v>0</v>
      </c>
      <c r="X199" s="355"/>
      <c r="Y199" s="76">
        <v>61861</v>
      </c>
      <c r="Z199" s="77">
        <f t="shared" si="54"/>
        <v>0.23413129458963344</v>
      </c>
      <c r="AA199" s="77"/>
      <c r="AB199" s="370"/>
      <c r="AC199" s="373"/>
    </row>
    <row r="200" spans="3:29" x14ac:dyDescent="0.25">
      <c r="C200" s="292" t="s">
        <v>455</v>
      </c>
      <c r="D200" s="236" t="s">
        <v>456</v>
      </c>
      <c r="E200" s="71">
        <v>469547.69750883605</v>
      </c>
      <c r="F200" s="116">
        <v>582000</v>
      </c>
      <c r="G200" s="353">
        <f>710019.6+100</f>
        <v>710119.6</v>
      </c>
      <c r="H200" s="72"/>
      <c r="I200" s="72"/>
      <c r="J200" s="72"/>
      <c r="K200" s="72"/>
      <c r="L200" s="116">
        <f>[4]Kopsavilkums!K1450</f>
        <v>1155339.3199944133</v>
      </c>
      <c r="M200" s="354">
        <f>H200+I200+J200+K200+L200</f>
        <v>1155339.3199944133</v>
      </c>
      <c r="N200" s="354">
        <f t="shared" si="55"/>
        <v>445219.71999441332</v>
      </c>
      <c r="O200" s="355">
        <f>N200/G200</f>
        <v>0.62696441556381954</v>
      </c>
      <c r="P200" s="354">
        <v>1155339.3199944133</v>
      </c>
      <c r="Q200" s="354">
        <f t="shared" si="53"/>
        <v>0</v>
      </c>
      <c r="R200" s="355"/>
      <c r="S200" s="354">
        <v>1155339.3199944133</v>
      </c>
      <c r="T200" s="354">
        <f t="shared" si="44"/>
        <v>0</v>
      </c>
      <c r="U200" s="355"/>
      <c r="V200" s="354">
        <v>1155339.3199944133</v>
      </c>
      <c r="W200" s="354">
        <f t="shared" si="45"/>
        <v>0</v>
      </c>
      <c r="X200" s="355"/>
      <c r="Y200" s="76">
        <v>228054</v>
      </c>
      <c r="Z200" s="77">
        <f t="shared" si="54"/>
        <v>0.19739136031577525</v>
      </c>
      <c r="AA200" s="77"/>
    </row>
    <row r="201" spans="3:29" s="10" customFormat="1" ht="15.75" customHeight="1" x14ac:dyDescent="0.2">
      <c r="C201" s="374" t="s">
        <v>457</v>
      </c>
      <c r="D201" s="283" t="s">
        <v>458</v>
      </c>
      <c r="E201" s="284">
        <f>2132136.41356623+4233+82662+560+2889+2820+41843.5+5549.5+(99951+5682)+40832</f>
        <v>2419158.4135662299</v>
      </c>
      <c r="F201" s="286">
        <f>F202+F203+F204+F206</f>
        <v>2645009</v>
      </c>
      <c r="G201" s="285">
        <f t="shared" ref="G201:M201" si="57">G202+G203+G204+G205+G206</f>
        <v>2909341.5</v>
      </c>
      <c r="H201" s="286">
        <f t="shared" si="57"/>
        <v>125895.37</v>
      </c>
      <c r="I201" s="286">
        <f t="shared" si="57"/>
        <v>1733837.5</v>
      </c>
      <c r="J201" s="286">
        <f t="shared" si="57"/>
        <v>0</v>
      </c>
      <c r="K201" s="286">
        <f t="shared" si="57"/>
        <v>0</v>
      </c>
      <c r="L201" s="286">
        <f t="shared" si="57"/>
        <v>885007.63</v>
      </c>
      <c r="M201" s="287">
        <f t="shared" si="57"/>
        <v>2744740.5</v>
      </c>
      <c r="N201" s="287">
        <f t="shared" si="55"/>
        <v>-164601</v>
      </c>
      <c r="O201" s="291">
        <f>N201/G201</f>
        <v>-5.6576720195961869E-2</v>
      </c>
      <c r="P201" s="287">
        <f>P202+P203+P204+P205+P206</f>
        <v>2747440.5</v>
      </c>
      <c r="Q201" s="287">
        <f t="shared" si="53"/>
        <v>2700</v>
      </c>
      <c r="R201" s="291"/>
      <c r="S201" s="287">
        <f>S202+S203+S204+S205+S206</f>
        <v>2747440.5</v>
      </c>
      <c r="T201" s="287">
        <f t="shared" si="44"/>
        <v>0</v>
      </c>
      <c r="U201" s="291"/>
      <c r="V201" s="287">
        <f>V202+V203+V204+V205+V206</f>
        <v>2802440.5</v>
      </c>
      <c r="W201" s="287">
        <f t="shared" si="45"/>
        <v>55000</v>
      </c>
      <c r="X201" s="291"/>
      <c r="Y201" s="289">
        <f>Y202+Y204+Y206</f>
        <v>440868</v>
      </c>
      <c r="Z201" s="290">
        <f t="shared" si="54"/>
        <v>0.15731573962052003</v>
      </c>
      <c r="AA201" s="290"/>
    </row>
    <row r="202" spans="3:29" s="68" customFormat="1" ht="30" customHeight="1" outlineLevel="1" x14ac:dyDescent="0.25">
      <c r="C202" s="375" t="s">
        <v>459</v>
      </c>
      <c r="D202" s="236" t="s">
        <v>419</v>
      </c>
      <c r="E202" s="72"/>
      <c r="F202" s="376">
        <v>1383647</v>
      </c>
      <c r="G202" s="73">
        <v>1575587.5</v>
      </c>
      <c r="H202" s="72">
        <f>H54+1306</f>
        <v>41739</v>
      </c>
      <c r="I202" s="72">
        <f>I54+I55+24865</f>
        <v>1577837.5</v>
      </c>
      <c r="J202" s="72"/>
      <c r="K202" s="72"/>
      <c r="L202" s="72"/>
      <c r="M202" s="74">
        <f>H202+I202+J202+K202+L202</f>
        <v>1619576.5</v>
      </c>
      <c r="N202" s="377">
        <f t="shared" si="55"/>
        <v>43989</v>
      </c>
      <c r="O202" s="357"/>
      <c r="P202" s="74">
        <v>1619576.5</v>
      </c>
      <c r="Q202" s="74">
        <f t="shared" si="53"/>
        <v>0</v>
      </c>
      <c r="R202" s="357"/>
      <c r="S202" s="74">
        <v>1619576.5</v>
      </c>
      <c r="T202" s="74">
        <f t="shared" si="44"/>
        <v>0</v>
      </c>
      <c r="U202" s="357"/>
      <c r="V202" s="74">
        <v>1619576.5</v>
      </c>
      <c r="W202" s="74">
        <f t="shared" si="45"/>
        <v>0</v>
      </c>
      <c r="X202" s="357"/>
      <c r="Y202" s="76">
        <v>245756</v>
      </c>
      <c r="Z202" s="77">
        <f t="shared" si="54"/>
        <v>0.15174090263720177</v>
      </c>
      <c r="AA202" s="77"/>
      <c r="AB202" s="214"/>
    </row>
    <row r="203" spans="3:29" s="68" customFormat="1" outlineLevel="1" x14ac:dyDescent="0.25">
      <c r="C203" s="375" t="s">
        <v>460</v>
      </c>
      <c r="D203" s="236" t="s">
        <v>435</v>
      </c>
      <c r="E203" s="72"/>
      <c r="F203" s="376">
        <v>121095</v>
      </c>
      <c r="G203" s="73">
        <v>187313</v>
      </c>
      <c r="H203" s="72">
        <f>(50976-14156)-3642</f>
        <v>33178</v>
      </c>
      <c r="I203" s="72">
        <f>19500*8</f>
        <v>156000</v>
      </c>
      <c r="J203" s="72"/>
      <c r="K203" s="72"/>
      <c r="L203" s="72"/>
      <c r="M203" s="74">
        <f>H203+I203+J203+K203+L203</f>
        <v>189178</v>
      </c>
      <c r="N203" s="377">
        <f t="shared" si="55"/>
        <v>1865</v>
      </c>
      <c r="O203" s="357"/>
      <c r="P203" s="74">
        <v>189178</v>
      </c>
      <c r="Q203" s="74">
        <f t="shared" si="53"/>
        <v>0</v>
      </c>
      <c r="R203" s="357"/>
      <c r="S203" s="74">
        <v>189178</v>
      </c>
      <c r="T203" s="74">
        <f t="shared" si="44"/>
        <v>0</v>
      </c>
      <c r="U203" s="357"/>
      <c r="V203" s="74">
        <v>189178</v>
      </c>
      <c r="W203" s="74">
        <f t="shared" si="45"/>
        <v>0</v>
      </c>
      <c r="X203" s="357"/>
      <c r="Y203" s="76"/>
      <c r="Z203" s="77">
        <f t="shared" si="54"/>
        <v>0</v>
      </c>
      <c r="AA203" s="77"/>
      <c r="AB203" s="214"/>
    </row>
    <row r="204" spans="3:29" s="68" customFormat="1" ht="27" customHeight="1" outlineLevel="1" x14ac:dyDescent="0.25">
      <c r="C204" s="375" t="s">
        <v>461</v>
      </c>
      <c r="D204" s="236" t="s">
        <v>427</v>
      </c>
      <c r="E204" s="72"/>
      <c r="F204" s="376">
        <f>1174743-121095+50476</f>
        <v>1104124</v>
      </c>
      <c r="G204" s="73">
        <v>1095729</v>
      </c>
      <c r="H204" s="72"/>
      <c r="I204" s="72"/>
      <c r="J204" s="72"/>
      <c r="K204" s="72"/>
      <c r="L204" s="72">
        <f>[4]Izmaksu_veidi!E60-[4]Izmaksu_veidi!E62-[4]Izmaksu_veidi!E64</f>
        <v>875841</v>
      </c>
      <c r="M204" s="74">
        <f>H204+I204+J204+K204+L204</f>
        <v>875841</v>
      </c>
      <c r="N204" s="377">
        <f t="shared" si="55"/>
        <v>-219888</v>
      </c>
      <c r="O204" s="357"/>
      <c r="P204" s="74">
        <f>875841+2700</f>
        <v>878541</v>
      </c>
      <c r="Q204" s="74">
        <f t="shared" si="53"/>
        <v>2700</v>
      </c>
      <c r="R204" s="97" t="s">
        <v>265</v>
      </c>
      <c r="S204" s="74">
        <f>875841+2700</f>
        <v>878541</v>
      </c>
      <c r="T204" s="74">
        <f t="shared" si="44"/>
        <v>0</v>
      </c>
      <c r="U204" s="97"/>
      <c r="V204" s="74">
        <f>875841+2700+55000</f>
        <v>933541</v>
      </c>
      <c r="W204" s="74">
        <f t="shared" si="45"/>
        <v>55000</v>
      </c>
      <c r="X204" s="183" t="s">
        <v>462</v>
      </c>
      <c r="Y204" s="76">
        <v>195112</v>
      </c>
      <c r="Z204" s="77">
        <f t="shared" si="54"/>
        <v>0.20900206846833722</v>
      </c>
      <c r="AA204" s="77"/>
      <c r="AB204" s="214"/>
    </row>
    <row r="205" spans="3:29" s="68" customFormat="1" outlineLevel="1" x14ac:dyDescent="0.25">
      <c r="C205" s="375" t="s">
        <v>463</v>
      </c>
      <c r="D205" s="236" t="s">
        <v>464</v>
      </c>
      <c r="E205" s="72"/>
      <c r="F205" s="376"/>
      <c r="G205" s="73">
        <v>50712</v>
      </c>
      <c r="H205" s="72">
        <f>H76</f>
        <v>50978.37</v>
      </c>
      <c r="I205" s="72"/>
      <c r="J205" s="72">
        <f>J76</f>
        <v>0</v>
      </c>
      <c r="K205" s="72"/>
      <c r="L205" s="72">
        <f>[4]Izmaksu_veidi!E64-'2017.gada budzeta izpilde'!H205</f>
        <v>9166.6299999999974</v>
      </c>
      <c r="M205" s="74">
        <f>H205+I205+J205+K205+L205</f>
        <v>60145</v>
      </c>
      <c r="N205" s="377">
        <f t="shared" si="55"/>
        <v>9433</v>
      </c>
      <c r="O205" s="357"/>
      <c r="P205" s="74">
        <v>60145</v>
      </c>
      <c r="Q205" s="74">
        <f t="shared" si="53"/>
        <v>0</v>
      </c>
      <c r="R205" s="357"/>
      <c r="S205" s="74">
        <v>60145</v>
      </c>
      <c r="T205" s="74">
        <f t="shared" si="44"/>
        <v>0</v>
      </c>
      <c r="U205" s="357"/>
      <c r="V205" s="74">
        <v>60145</v>
      </c>
      <c r="W205" s="74">
        <f t="shared" si="45"/>
        <v>0</v>
      </c>
      <c r="X205" s="357"/>
      <c r="Y205" s="76"/>
      <c r="Z205" s="77">
        <f t="shared" si="54"/>
        <v>0</v>
      </c>
      <c r="AA205" s="77"/>
      <c r="AB205" s="214"/>
    </row>
    <row r="206" spans="3:29" s="26" customFormat="1" ht="15.75" customHeight="1" outlineLevel="2" x14ac:dyDescent="0.25">
      <c r="C206" s="375"/>
      <c r="D206" s="378" t="s">
        <v>465</v>
      </c>
      <c r="E206" s="72"/>
      <c r="F206" s="113">
        <f>10000+13175+12968</f>
        <v>36143</v>
      </c>
      <c r="G206" s="379">
        <v>0</v>
      </c>
      <c r="H206" s="72"/>
      <c r="I206" s="72"/>
      <c r="J206" s="72"/>
      <c r="K206" s="72"/>
      <c r="L206" s="113">
        <v>0</v>
      </c>
      <c r="M206" s="377">
        <f>I206+J206+L206</f>
        <v>0</v>
      </c>
      <c r="N206" s="377">
        <f t="shared" si="55"/>
        <v>0</v>
      </c>
      <c r="O206" s="357"/>
      <c r="P206" s="377">
        <v>0</v>
      </c>
      <c r="Q206" s="74">
        <f t="shared" si="53"/>
        <v>0</v>
      </c>
      <c r="R206" s="357"/>
      <c r="S206" s="377">
        <v>0</v>
      </c>
      <c r="T206" s="74">
        <f t="shared" si="44"/>
        <v>0</v>
      </c>
      <c r="U206" s="357"/>
      <c r="V206" s="377">
        <v>0</v>
      </c>
      <c r="W206" s="74">
        <f t="shared" si="45"/>
        <v>0</v>
      </c>
      <c r="X206" s="357"/>
      <c r="Y206" s="76"/>
      <c r="Z206" s="77"/>
      <c r="AA206" s="77"/>
      <c r="AB206" s="380"/>
    </row>
    <row r="207" spans="3:29" s="10" customFormat="1" ht="68.25" customHeight="1" x14ac:dyDescent="0.25">
      <c r="C207" s="374" t="s">
        <v>466</v>
      </c>
      <c r="D207" s="283" t="s">
        <v>467</v>
      </c>
      <c r="E207" s="284"/>
      <c r="F207" s="287"/>
      <c r="G207" s="285">
        <v>104566.27</v>
      </c>
      <c r="H207" s="286"/>
      <c r="I207" s="286"/>
      <c r="J207" s="286"/>
      <c r="K207" s="286">
        <f>K101</f>
        <v>1659929.23</v>
      </c>
      <c r="L207" s="286">
        <f>'[4]2016_2025_092016'!H91-J207-K207</f>
        <v>30500</v>
      </c>
      <c r="M207" s="287">
        <f>H207+I207+J207+K207+L207</f>
        <v>1690429.23</v>
      </c>
      <c r="N207" s="287">
        <f t="shared" si="55"/>
        <v>1585862.96</v>
      </c>
      <c r="O207" s="336">
        <f>N207/G207</f>
        <v>15.166104327906121</v>
      </c>
      <c r="P207" s="287">
        <v>1690429.23</v>
      </c>
      <c r="Q207" s="287">
        <f t="shared" si="53"/>
        <v>0</v>
      </c>
      <c r="R207" s="336"/>
      <c r="S207" s="287">
        <v>1690429.23</v>
      </c>
      <c r="T207" s="287">
        <f t="shared" si="44"/>
        <v>0</v>
      </c>
      <c r="U207" s="336"/>
      <c r="V207" s="287">
        <v>1690429.23</v>
      </c>
      <c r="W207" s="287">
        <f t="shared" si="45"/>
        <v>0</v>
      </c>
      <c r="X207" s="336"/>
      <c r="Y207" s="289">
        <v>1380</v>
      </c>
      <c r="Z207" s="290">
        <f t="shared" si="54"/>
        <v>8.1636070620951103E-4</v>
      </c>
      <c r="AA207" s="193" t="s">
        <v>468</v>
      </c>
    </row>
    <row r="208" spans="3:29" s="10" customFormat="1" ht="18" customHeight="1" x14ac:dyDescent="0.25">
      <c r="C208" s="374" t="s">
        <v>469</v>
      </c>
      <c r="D208" s="283" t="s">
        <v>470</v>
      </c>
      <c r="E208" s="284">
        <f>682572.950637731+21877+9141</f>
        <v>713590.950637731</v>
      </c>
      <c r="F208" s="287">
        <f t="shared" ref="F208:M208" si="58">F209+F212</f>
        <v>824136</v>
      </c>
      <c r="G208" s="285">
        <f>G209+G212</f>
        <v>863134.14</v>
      </c>
      <c r="H208" s="286">
        <f t="shared" si="58"/>
        <v>0</v>
      </c>
      <c r="I208" s="286">
        <f t="shared" si="58"/>
        <v>413440.5</v>
      </c>
      <c r="J208" s="286">
        <f t="shared" si="58"/>
        <v>0</v>
      </c>
      <c r="K208" s="286"/>
      <c r="L208" s="286">
        <f t="shared" si="58"/>
        <v>509749</v>
      </c>
      <c r="M208" s="287">
        <f t="shared" si="58"/>
        <v>923189.5</v>
      </c>
      <c r="N208" s="287">
        <f t="shared" si="55"/>
        <v>60055.359999999986</v>
      </c>
      <c r="O208" s="336">
        <f>N208/G208</f>
        <v>6.9578246551573061E-2</v>
      </c>
      <c r="P208" s="287">
        <f>P209+P212</f>
        <v>923189.5</v>
      </c>
      <c r="Q208" s="287">
        <f t="shared" si="53"/>
        <v>0</v>
      </c>
      <c r="R208" s="336"/>
      <c r="S208" s="287">
        <f>S209+S212</f>
        <v>923189.5</v>
      </c>
      <c r="T208" s="287">
        <f t="shared" si="44"/>
        <v>0</v>
      </c>
      <c r="U208" s="336"/>
      <c r="V208" s="287">
        <f>V209+V212</f>
        <v>923189.5</v>
      </c>
      <c r="W208" s="287">
        <f t="shared" si="45"/>
        <v>0</v>
      </c>
      <c r="X208" s="336"/>
      <c r="Y208" s="289">
        <f>Y209+Y212</f>
        <v>141712</v>
      </c>
      <c r="Z208" s="290">
        <f t="shared" si="54"/>
        <v>0.15350261241056143</v>
      </c>
      <c r="AA208" s="290"/>
    </row>
    <row r="209" spans="3:28" ht="18" customHeight="1" x14ac:dyDescent="0.25">
      <c r="C209" s="292" t="s">
        <v>471</v>
      </c>
      <c r="D209" s="236" t="s">
        <v>472</v>
      </c>
      <c r="E209" s="366" t="e">
        <f>E210+E211+15090+10405+5160</f>
        <v>#REF!</v>
      </c>
      <c r="F209" s="72">
        <v>321229</v>
      </c>
      <c r="G209" s="73">
        <v>307027.14</v>
      </c>
      <c r="H209" s="72">
        <f>H44</f>
        <v>0</v>
      </c>
      <c r="I209" s="72">
        <f>I44</f>
        <v>413440.5</v>
      </c>
      <c r="J209" s="72"/>
      <c r="K209" s="72"/>
      <c r="L209" s="72"/>
      <c r="M209" s="74">
        <f>H209+I209+J209+K209+L209</f>
        <v>413440.5</v>
      </c>
      <c r="N209" s="74">
        <f t="shared" si="55"/>
        <v>106413.35999999999</v>
      </c>
      <c r="O209" s="75"/>
      <c r="P209" s="74">
        <v>413440.5</v>
      </c>
      <c r="Q209" s="74">
        <f t="shared" si="53"/>
        <v>0</v>
      </c>
      <c r="R209" s="75"/>
      <c r="S209" s="74">
        <v>413440.5</v>
      </c>
      <c r="T209" s="74">
        <f t="shared" si="44"/>
        <v>0</v>
      </c>
      <c r="U209" s="75"/>
      <c r="V209" s="74">
        <v>413440.5</v>
      </c>
      <c r="W209" s="74">
        <f t="shared" si="45"/>
        <v>0</v>
      </c>
      <c r="X209" s="75"/>
      <c r="Y209" s="76">
        <v>65666</v>
      </c>
      <c r="Z209" s="77">
        <f t="shared" si="54"/>
        <v>0.15882817479177777</v>
      </c>
      <c r="AA209" s="77"/>
    </row>
    <row r="210" spans="3:28" s="68" customFormat="1" hidden="1" outlineLevel="1" x14ac:dyDescent="0.25">
      <c r="C210" s="68" t="s">
        <v>473</v>
      </c>
      <c r="D210" s="68" t="s">
        <v>474</v>
      </c>
      <c r="E210" s="356" t="e">
        <f>#REF!</f>
        <v>#REF!</v>
      </c>
      <c r="F210" s="26"/>
      <c r="G210" s="212">
        <v>305427</v>
      </c>
      <c r="H210" s="26"/>
      <c r="I210" s="26">
        <f>I44</f>
        <v>413440.5</v>
      </c>
      <c r="J210" s="26"/>
      <c r="K210" s="26"/>
      <c r="L210" s="26"/>
      <c r="M210" s="1">
        <f>H210+I210+J210+K210+L210</f>
        <v>413440.5</v>
      </c>
      <c r="N210" s="1">
        <f t="shared" si="55"/>
        <v>108013.5</v>
      </c>
      <c r="O210" s="29"/>
      <c r="P210" s="1">
        <v>413440.5</v>
      </c>
      <c r="Q210" s="1">
        <f t="shared" si="53"/>
        <v>0</v>
      </c>
      <c r="R210" s="29"/>
      <c r="S210" s="1">
        <v>413440.5</v>
      </c>
      <c r="T210" s="1">
        <f t="shared" si="44"/>
        <v>0</v>
      </c>
      <c r="U210" s="29"/>
      <c r="V210" s="1">
        <v>413440.5</v>
      </c>
      <c r="W210" s="1">
        <f t="shared" si="45"/>
        <v>0</v>
      </c>
      <c r="X210" s="29"/>
      <c r="Y210" s="213"/>
      <c r="Z210" s="30">
        <f t="shared" si="54"/>
        <v>0</v>
      </c>
      <c r="AA210" s="30"/>
      <c r="AB210" s="214"/>
    </row>
    <row r="211" spans="3:28" s="68" customFormat="1" hidden="1" outlineLevel="1" x14ac:dyDescent="0.25">
      <c r="C211" s="68" t="s">
        <v>475</v>
      </c>
      <c r="D211" s="68" t="s">
        <v>476</v>
      </c>
      <c r="E211" s="356" t="e">
        <f>#REF!</f>
        <v>#REF!</v>
      </c>
      <c r="F211" s="26"/>
      <c r="G211" s="212">
        <v>0</v>
      </c>
      <c r="H211" s="26"/>
      <c r="I211" s="26"/>
      <c r="J211" s="26"/>
      <c r="K211" s="26"/>
      <c r="L211" s="26"/>
      <c r="M211" s="1">
        <f>H211+I211+J211+K211+L211</f>
        <v>0</v>
      </c>
      <c r="N211" s="1">
        <f t="shared" si="55"/>
        <v>0</v>
      </c>
      <c r="O211" s="29"/>
      <c r="P211" s="1">
        <v>0</v>
      </c>
      <c r="Q211" s="1">
        <f t="shared" si="53"/>
        <v>0</v>
      </c>
      <c r="R211" s="29"/>
      <c r="S211" s="1">
        <v>0</v>
      </c>
      <c r="T211" s="1">
        <f t="shared" si="44"/>
        <v>0</v>
      </c>
      <c r="U211" s="29"/>
      <c r="V211" s="1">
        <v>0</v>
      </c>
      <c r="W211" s="1">
        <f t="shared" si="45"/>
        <v>0</v>
      </c>
      <c r="X211" s="29"/>
      <c r="Y211" s="213"/>
      <c r="Z211" s="30" t="e">
        <f t="shared" si="54"/>
        <v>#DIV/0!</v>
      </c>
      <c r="AA211" s="30"/>
      <c r="AB211" s="214"/>
    </row>
    <row r="212" spans="3:28" collapsed="1" x14ac:dyDescent="0.25">
      <c r="C212" s="292" t="s">
        <v>477</v>
      </c>
      <c r="D212" s="236" t="s">
        <v>427</v>
      </c>
      <c r="E212" s="358" t="e">
        <f>#REF!</f>
        <v>#REF!</v>
      </c>
      <c r="F212" s="359">
        <v>502907</v>
      </c>
      <c r="G212" s="360">
        <v>556107</v>
      </c>
      <c r="H212" s="359"/>
      <c r="I212" s="72"/>
      <c r="J212" s="72"/>
      <c r="K212" s="72"/>
      <c r="L212" s="72">
        <f>[4]Izmaksu_veidi!F60-[4]Izmaksu_veidi!F62</f>
        <v>509749</v>
      </c>
      <c r="M212" s="361">
        <f>H212+I212+J212+K212+L212</f>
        <v>509749</v>
      </c>
      <c r="N212" s="361">
        <f t="shared" si="55"/>
        <v>-46358</v>
      </c>
      <c r="O212" s="362"/>
      <c r="P212" s="361">
        <v>509749</v>
      </c>
      <c r="Q212" s="361">
        <f t="shared" si="53"/>
        <v>0</v>
      </c>
      <c r="R212" s="362"/>
      <c r="S212" s="361">
        <v>509749</v>
      </c>
      <c r="T212" s="361">
        <f t="shared" ref="T212:T234" si="59">S212-P212</f>
        <v>0</v>
      </c>
      <c r="U212" s="362"/>
      <c r="V212" s="361">
        <v>509749</v>
      </c>
      <c r="W212" s="361">
        <f t="shared" ref="W212:W234" si="60">V212-S212</f>
        <v>0</v>
      </c>
      <c r="X212" s="362"/>
      <c r="Y212" s="76">
        <v>76046</v>
      </c>
      <c r="Z212" s="364">
        <f t="shared" si="54"/>
        <v>0.14918322546979004</v>
      </c>
      <c r="AA212" s="364"/>
    </row>
    <row r="213" spans="3:28" x14ac:dyDescent="0.25">
      <c r="C213" s="292" t="s">
        <v>478</v>
      </c>
      <c r="D213" s="236" t="s">
        <v>479</v>
      </c>
      <c r="E213" s="358" t="e">
        <f>#REF!</f>
        <v>#REF!</v>
      </c>
      <c r="F213" s="359"/>
      <c r="G213" s="360">
        <v>0</v>
      </c>
      <c r="H213" s="359"/>
      <c r="I213" s="72"/>
      <c r="J213" s="72"/>
      <c r="K213" s="72"/>
      <c r="L213" s="359"/>
      <c r="M213" s="361">
        <f>H213+I213+J213+K213+L213</f>
        <v>0</v>
      </c>
      <c r="N213" s="361">
        <f t="shared" si="55"/>
        <v>0</v>
      </c>
      <c r="O213" s="362"/>
      <c r="P213" s="361">
        <v>0</v>
      </c>
      <c r="Q213" s="361">
        <f t="shared" si="53"/>
        <v>0</v>
      </c>
      <c r="R213" s="362"/>
      <c r="S213" s="361">
        <v>0</v>
      </c>
      <c r="T213" s="361">
        <f t="shared" si="59"/>
        <v>0</v>
      </c>
      <c r="U213" s="362"/>
      <c r="V213" s="361">
        <v>0</v>
      </c>
      <c r="W213" s="361">
        <f t="shared" si="60"/>
        <v>0</v>
      </c>
      <c r="X213" s="362"/>
      <c r="Y213" s="363"/>
      <c r="Z213" s="364"/>
      <c r="AA213" s="364"/>
    </row>
    <row r="214" spans="3:28" ht="20.25" customHeight="1" x14ac:dyDescent="0.25">
      <c r="C214" s="381" t="s">
        <v>480</v>
      </c>
      <c r="D214" s="283" t="s">
        <v>481</v>
      </c>
      <c r="E214" s="284">
        <f>214071.06390971+14055</f>
        <v>228126.06390971001</v>
      </c>
      <c r="F214" s="287">
        <f>253900+996+8292</f>
        <v>263188</v>
      </c>
      <c r="G214" s="285">
        <f t="shared" ref="G214:M214" si="61">G215+G221</f>
        <v>293646</v>
      </c>
      <c r="H214" s="286">
        <f t="shared" si="61"/>
        <v>1267</v>
      </c>
      <c r="I214" s="286">
        <f t="shared" si="61"/>
        <v>158620</v>
      </c>
      <c r="J214" s="286">
        <f t="shared" si="61"/>
        <v>0</v>
      </c>
      <c r="K214" s="286"/>
      <c r="L214" s="286">
        <f t="shared" si="61"/>
        <v>177173</v>
      </c>
      <c r="M214" s="287">
        <f t="shared" si="61"/>
        <v>337060</v>
      </c>
      <c r="N214" s="287">
        <f t="shared" si="55"/>
        <v>43414</v>
      </c>
      <c r="O214" s="279">
        <f>N214/G214</f>
        <v>0.1478446837348372</v>
      </c>
      <c r="P214" s="287">
        <f>P215+P221</f>
        <v>337060</v>
      </c>
      <c r="Q214" s="287">
        <f t="shared" si="53"/>
        <v>0</v>
      </c>
      <c r="R214" s="279"/>
      <c r="S214" s="287">
        <f>S215+S221</f>
        <v>337060</v>
      </c>
      <c r="T214" s="287">
        <f t="shared" si="59"/>
        <v>0</v>
      </c>
      <c r="U214" s="279"/>
      <c r="V214" s="287">
        <f>V215+V221</f>
        <v>337060</v>
      </c>
      <c r="W214" s="287">
        <f t="shared" si="60"/>
        <v>0</v>
      </c>
      <c r="X214" s="279"/>
      <c r="Y214" s="289">
        <f>Y215+Y221</f>
        <v>54332</v>
      </c>
      <c r="Z214" s="290">
        <f t="shared" si="54"/>
        <v>0.16119385272651754</v>
      </c>
      <c r="AA214" s="290"/>
    </row>
    <row r="215" spans="3:28" x14ac:dyDescent="0.25">
      <c r="C215" s="382" t="s">
        <v>482</v>
      </c>
      <c r="D215" s="236" t="s">
        <v>472</v>
      </c>
      <c r="E215" s="366" t="e">
        <f>#REF!+2000</f>
        <v>#REF!</v>
      </c>
      <c r="F215" s="383"/>
      <c r="G215" s="73">
        <v>105779</v>
      </c>
      <c r="H215" s="72">
        <f>H45</f>
        <v>1267</v>
      </c>
      <c r="I215" s="72">
        <f>I45</f>
        <v>158620</v>
      </c>
      <c r="J215" s="72">
        <f>J216+J219+J220</f>
        <v>0</v>
      </c>
      <c r="K215" s="72"/>
      <c r="L215" s="72"/>
      <c r="M215" s="74">
        <f t="shared" ref="M215:M224" si="62">H215+I215+J215+K215+L215</f>
        <v>159887</v>
      </c>
      <c r="N215" s="74">
        <f t="shared" si="55"/>
        <v>54108</v>
      </c>
      <c r="O215" s="75"/>
      <c r="P215" s="74">
        <v>159887</v>
      </c>
      <c r="Q215" s="74">
        <f t="shared" si="53"/>
        <v>0</v>
      </c>
      <c r="R215" s="75"/>
      <c r="S215" s="74">
        <v>159887</v>
      </c>
      <c r="T215" s="74">
        <f t="shared" si="59"/>
        <v>0</v>
      </c>
      <c r="U215" s="75"/>
      <c r="V215" s="74">
        <v>159887</v>
      </c>
      <c r="W215" s="74">
        <f t="shared" si="60"/>
        <v>0</v>
      </c>
      <c r="X215" s="75"/>
      <c r="Y215" s="76">
        <v>29650</v>
      </c>
      <c r="Z215" s="77">
        <f t="shared" si="54"/>
        <v>0.18544346945029927</v>
      </c>
      <c r="AA215" s="77"/>
    </row>
    <row r="216" spans="3:28" s="391" customFormat="1" ht="15" hidden="1" customHeight="1" outlineLevel="1" x14ac:dyDescent="0.25">
      <c r="C216" s="68" t="s">
        <v>483</v>
      </c>
      <c r="D216" s="68" t="s">
        <v>429</v>
      </c>
      <c r="E216" s="384" t="e">
        <f>E217+E218</f>
        <v>#REF!</v>
      </c>
      <c r="F216" s="385"/>
      <c r="G216" s="73">
        <v>102929</v>
      </c>
      <c r="H216" s="386"/>
      <c r="I216" s="386">
        <f>I217</f>
        <v>158620</v>
      </c>
      <c r="J216" s="386"/>
      <c r="K216" s="386"/>
      <c r="L216" s="386"/>
      <c r="M216" s="74">
        <f t="shared" si="62"/>
        <v>158620</v>
      </c>
      <c r="N216" s="387">
        <f t="shared" si="55"/>
        <v>55691</v>
      </c>
      <c r="O216" s="388"/>
      <c r="P216" s="74">
        <v>158620</v>
      </c>
      <c r="Q216" s="387">
        <f t="shared" si="53"/>
        <v>0</v>
      </c>
      <c r="R216" s="388"/>
      <c r="S216" s="74">
        <v>158620</v>
      </c>
      <c r="T216" s="387">
        <f t="shared" si="59"/>
        <v>0</v>
      </c>
      <c r="U216" s="388"/>
      <c r="V216" s="74">
        <v>158620</v>
      </c>
      <c r="W216" s="387">
        <f t="shared" si="60"/>
        <v>0</v>
      </c>
      <c r="X216" s="388"/>
      <c r="Y216" s="213"/>
      <c r="Z216" s="389">
        <f t="shared" si="54"/>
        <v>0</v>
      </c>
      <c r="AA216" s="389"/>
      <c r="AB216" s="390"/>
    </row>
    <row r="217" spans="3:28" s="391" customFormat="1" ht="15" hidden="1" customHeight="1" outlineLevel="1" x14ac:dyDescent="0.25">
      <c r="C217" s="68" t="s">
        <v>484</v>
      </c>
      <c r="D217" s="68" t="s">
        <v>485</v>
      </c>
      <c r="E217" s="384" t="e">
        <f>SUM(#REF!)</f>
        <v>#REF!</v>
      </c>
      <c r="F217" s="385"/>
      <c r="G217" s="73">
        <v>102929</v>
      </c>
      <c r="H217" s="386"/>
      <c r="I217" s="386">
        <f>I45</f>
        <v>158620</v>
      </c>
      <c r="J217" s="386"/>
      <c r="K217" s="386"/>
      <c r="L217" s="386"/>
      <c r="M217" s="74">
        <f t="shared" si="62"/>
        <v>158620</v>
      </c>
      <c r="N217" s="387">
        <f t="shared" si="55"/>
        <v>55691</v>
      </c>
      <c r="O217" s="388"/>
      <c r="P217" s="74">
        <v>158620</v>
      </c>
      <c r="Q217" s="387">
        <f t="shared" si="53"/>
        <v>0</v>
      </c>
      <c r="R217" s="388"/>
      <c r="S217" s="74">
        <v>158620</v>
      </c>
      <c r="T217" s="387">
        <f t="shared" si="59"/>
        <v>0</v>
      </c>
      <c r="U217" s="388"/>
      <c r="V217" s="74">
        <v>158620</v>
      </c>
      <c r="W217" s="387">
        <f t="shared" si="60"/>
        <v>0</v>
      </c>
      <c r="X217" s="388"/>
      <c r="Y217" s="213"/>
      <c r="Z217" s="389">
        <f t="shared" si="54"/>
        <v>0</v>
      </c>
      <c r="AA217" s="389"/>
      <c r="AB217" s="390"/>
    </row>
    <row r="218" spans="3:28" s="391" customFormat="1" ht="15" hidden="1" customHeight="1" outlineLevel="1" x14ac:dyDescent="0.25">
      <c r="C218" s="68" t="s">
        <v>486</v>
      </c>
      <c r="D218" s="68" t="s">
        <v>487</v>
      </c>
      <c r="E218" s="384" t="e">
        <f>SUM(#REF!)</f>
        <v>#REF!</v>
      </c>
      <c r="F218" s="385"/>
      <c r="G218" s="73">
        <v>0</v>
      </c>
      <c r="H218" s="386"/>
      <c r="I218" s="386"/>
      <c r="J218" s="386">
        <f>J216-J217</f>
        <v>0</v>
      </c>
      <c r="K218" s="386"/>
      <c r="L218" s="386"/>
      <c r="M218" s="74">
        <f t="shared" si="62"/>
        <v>0</v>
      </c>
      <c r="N218" s="387">
        <f t="shared" si="55"/>
        <v>0</v>
      </c>
      <c r="O218" s="388"/>
      <c r="P218" s="74">
        <v>0</v>
      </c>
      <c r="Q218" s="387">
        <f t="shared" si="53"/>
        <v>0</v>
      </c>
      <c r="R218" s="388"/>
      <c r="S218" s="74">
        <v>0</v>
      </c>
      <c r="T218" s="387">
        <f t="shared" si="59"/>
        <v>0</v>
      </c>
      <c r="U218" s="388"/>
      <c r="V218" s="74">
        <v>0</v>
      </c>
      <c r="W218" s="387">
        <f t="shared" si="60"/>
        <v>0</v>
      </c>
      <c r="X218" s="388"/>
      <c r="Y218" s="363"/>
      <c r="Z218" s="389" t="e">
        <f t="shared" si="54"/>
        <v>#DIV/0!</v>
      </c>
      <c r="AA218" s="389"/>
      <c r="AB218" s="390"/>
    </row>
    <row r="219" spans="3:28" s="391" customFormat="1" ht="15" hidden="1" customHeight="1" outlineLevel="1" x14ac:dyDescent="0.25">
      <c r="C219" s="68" t="s">
        <v>488</v>
      </c>
      <c r="D219" s="68" t="s">
        <v>489</v>
      </c>
      <c r="E219" s="384">
        <v>21570</v>
      </c>
      <c r="F219" s="385"/>
      <c r="G219" s="73">
        <v>0</v>
      </c>
      <c r="H219" s="386"/>
      <c r="I219" s="386"/>
      <c r="J219" s="386"/>
      <c r="K219" s="386"/>
      <c r="L219" s="386"/>
      <c r="M219" s="74">
        <f t="shared" si="62"/>
        <v>0</v>
      </c>
      <c r="N219" s="387">
        <f t="shared" si="55"/>
        <v>0</v>
      </c>
      <c r="O219" s="388"/>
      <c r="P219" s="74">
        <v>0</v>
      </c>
      <c r="Q219" s="387">
        <f t="shared" si="53"/>
        <v>0</v>
      </c>
      <c r="R219" s="388"/>
      <c r="S219" s="74">
        <v>0</v>
      </c>
      <c r="T219" s="387">
        <f t="shared" si="59"/>
        <v>0</v>
      </c>
      <c r="U219" s="388"/>
      <c r="V219" s="74">
        <v>0</v>
      </c>
      <c r="W219" s="387">
        <f t="shared" si="60"/>
        <v>0</v>
      </c>
      <c r="X219" s="388"/>
      <c r="Y219" s="76"/>
      <c r="Z219" s="389" t="e">
        <f t="shared" si="54"/>
        <v>#DIV/0!</v>
      </c>
      <c r="AA219" s="389"/>
      <c r="AB219" s="390"/>
    </row>
    <row r="220" spans="3:28" s="391" customFormat="1" ht="15" hidden="1" customHeight="1" outlineLevel="1" x14ac:dyDescent="0.25">
      <c r="C220" s="68" t="s">
        <v>490</v>
      </c>
      <c r="D220" s="68" t="s">
        <v>491</v>
      </c>
      <c r="E220" s="384">
        <v>7870</v>
      </c>
      <c r="F220" s="385"/>
      <c r="G220" s="73">
        <v>0</v>
      </c>
      <c r="H220" s="386"/>
      <c r="I220" s="386"/>
      <c r="J220" s="386"/>
      <c r="K220" s="386"/>
      <c r="L220" s="386"/>
      <c r="M220" s="74">
        <f t="shared" si="62"/>
        <v>0</v>
      </c>
      <c r="N220" s="387">
        <f t="shared" si="55"/>
        <v>0</v>
      </c>
      <c r="O220" s="388"/>
      <c r="P220" s="74">
        <v>0</v>
      </c>
      <c r="Q220" s="387">
        <f t="shared" si="53"/>
        <v>0</v>
      </c>
      <c r="R220" s="388"/>
      <c r="S220" s="74">
        <v>0</v>
      </c>
      <c r="T220" s="387">
        <f t="shared" si="59"/>
        <v>0</v>
      </c>
      <c r="U220" s="388"/>
      <c r="V220" s="74">
        <v>0</v>
      </c>
      <c r="W220" s="387">
        <f t="shared" si="60"/>
        <v>0</v>
      </c>
      <c r="X220" s="388"/>
      <c r="Y220" s="213"/>
      <c r="Z220" s="389" t="e">
        <f t="shared" si="54"/>
        <v>#DIV/0!</v>
      </c>
      <c r="AA220" s="389"/>
      <c r="AB220" s="390"/>
    </row>
    <row r="221" spans="3:28" s="11" customFormat="1" ht="18.75" customHeight="1" collapsed="1" x14ac:dyDescent="0.25">
      <c r="C221" s="382" t="s">
        <v>492</v>
      </c>
      <c r="D221" s="236" t="s">
        <v>493</v>
      </c>
      <c r="E221" s="366" t="e">
        <f>#REF!</f>
        <v>#REF!</v>
      </c>
      <c r="F221" s="383"/>
      <c r="G221" s="73">
        <v>187867</v>
      </c>
      <c r="H221" s="72"/>
      <c r="I221" s="72"/>
      <c r="J221" s="72"/>
      <c r="K221" s="72"/>
      <c r="L221" s="72">
        <f>[4]Izmaksu_veidi!G60-[4]Izmaksu_veidi!G62</f>
        <v>177173</v>
      </c>
      <c r="M221" s="74">
        <f t="shared" si="62"/>
        <v>177173</v>
      </c>
      <c r="N221" s="74">
        <f t="shared" si="55"/>
        <v>-10694</v>
      </c>
      <c r="O221" s="97"/>
      <c r="P221" s="74">
        <v>177173</v>
      </c>
      <c r="Q221" s="74">
        <f t="shared" si="53"/>
        <v>0</v>
      </c>
      <c r="R221" s="97"/>
      <c r="S221" s="74">
        <v>177173</v>
      </c>
      <c r="T221" s="74">
        <f t="shared" si="59"/>
        <v>0</v>
      </c>
      <c r="U221" s="97"/>
      <c r="V221" s="74">
        <v>177173</v>
      </c>
      <c r="W221" s="74">
        <f>V221-S221</f>
        <v>0</v>
      </c>
      <c r="X221" s="97"/>
      <c r="Y221" s="392">
        <v>24682</v>
      </c>
      <c r="Z221" s="77">
        <f t="shared" si="54"/>
        <v>0.13931016577017943</v>
      </c>
      <c r="AA221" s="77"/>
      <c r="AB221" s="12"/>
    </row>
    <row r="222" spans="3:28" s="11" customFormat="1" ht="29.25" x14ac:dyDescent="0.25">
      <c r="C222" s="381" t="s">
        <v>494</v>
      </c>
      <c r="D222" s="283" t="s">
        <v>495</v>
      </c>
      <c r="E222" s="186">
        <v>14513</v>
      </c>
      <c r="F222" s="189">
        <f>14753+982</f>
        <v>15735</v>
      </c>
      <c r="G222" s="188">
        <v>16035</v>
      </c>
      <c r="H222" s="187"/>
      <c r="I222" s="187"/>
      <c r="J222" s="187"/>
      <c r="K222" s="187"/>
      <c r="L222" s="187">
        <f>[4]Izmaksu_veidi!K60</f>
        <v>18403</v>
      </c>
      <c r="M222" s="189">
        <f t="shared" si="62"/>
        <v>18403</v>
      </c>
      <c r="N222" s="189">
        <f t="shared" si="55"/>
        <v>2368</v>
      </c>
      <c r="O222" s="190">
        <f t="shared" ref="O222:O229" si="63">N222/G222</f>
        <v>0.14767695665731212</v>
      </c>
      <c r="P222" s="189">
        <v>18403</v>
      </c>
      <c r="Q222" s="189">
        <f t="shared" si="53"/>
        <v>0</v>
      </c>
      <c r="R222" s="190"/>
      <c r="S222" s="189">
        <v>18403</v>
      </c>
      <c r="T222" s="189">
        <f t="shared" si="59"/>
        <v>0</v>
      </c>
      <c r="U222" s="190"/>
      <c r="V222" s="189">
        <v>18403</v>
      </c>
      <c r="W222" s="189">
        <f t="shared" si="60"/>
        <v>0</v>
      </c>
      <c r="X222" s="190"/>
      <c r="Y222" s="289">
        <v>4601</v>
      </c>
      <c r="Z222" s="192">
        <f t="shared" si="54"/>
        <v>0.25001358474161822</v>
      </c>
      <c r="AA222" s="192"/>
      <c r="AB222" s="12"/>
    </row>
    <row r="223" spans="3:28" s="11" customFormat="1" ht="15.75" customHeight="1" x14ac:dyDescent="0.25">
      <c r="C223" s="381" t="s">
        <v>496</v>
      </c>
      <c r="D223" s="283" t="s">
        <v>497</v>
      </c>
      <c r="E223" s="186"/>
      <c r="F223" s="189">
        <v>275</v>
      </c>
      <c r="G223" s="188">
        <v>7461</v>
      </c>
      <c r="H223" s="187"/>
      <c r="I223" s="187"/>
      <c r="J223" s="187"/>
      <c r="K223" s="187"/>
      <c r="L223" s="187">
        <f>[4]Izmaksu_veidi!BE88</f>
        <v>0</v>
      </c>
      <c r="M223" s="189">
        <f t="shared" si="62"/>
        <v>0</v>
      </c>
      <c r="N223" s="189">
        <f t="shared" si="55"/>
        <v>-7461</v>
      </c>
      <c r="O223" s="336">
        <f t="shared" si="63"/>
        <v>-1</v>
      </c>
      <c r="P223" s="189">
        <v>0</v>
      </c>
      <c r="Q223" s="189">
        <f t="shared" si="53"/>
        <v>0</v>
      </c>
      <c r="R223" s="336"/>
      <c r="S223" s="189">
        <v>0</v>
      </c>
      <c r="T223" s="189">
        <f t="shared" si="59"/>
        <v>0</v>
      </c>
      <c r="U223" s="336"/>
      <c r="V223" s="189">
        <v>0</v>
      </c>
      <c r="W223" s="189">
        <f t="shared" si="60"/>
        <v>0</v>
      </c>
      <c r="X223" s="336"/>
      <c r="Y223" s="191"/>
      <c r="Z223" s="192"/>
      <c r="AA223" s="192"/>
      <c r="AB223" s="12"/>
    </row>
    <row r="224" spans="3:28" s="11" customFormat="1" ht="18" customHeight="1" x14ac:dyDescent="0.25">
      <c r="C224" s="381" t="s">
        <v>498</v>
      </c>
      <c r="D224" s="283" t="s">
        <v>499</v>
      </c>
      <c r="E224" s="186"/>
      <c r="F224" s="189"/>
      <c r="G224" s="188">
        <v>35299</v>
      </c>
      <c r="H224" s="187"/>
      <c r="I224" s="187"/>
      <c r="J224" s="187"/>
      <c r="K224" s="187"/>
      <c r="L224" s="187">
        <f>[4]Izmaksu_veidi!D60</f>
        <v>32400</v>
      </c>
      <c r="M224" s="189">
        <f t="shared" si="62"/>
        <v>32400</v>
      </c>
      <c r="N224" s="189">
        <f t="shared" si="55"/>
        <v>-2899</v>
      </c>
      <c r="O224" s="336">
        <f t="shared" si="63"/>
        <v>-8.2126972435479756E-2</v>
      </c>
      <c r="P224" s="189">
        <v>32400</v>
      </c>
      <c r="Q224" s="189">
        <f t="shared" si="53"/>
        <v>0</v>
      </c>
      <c r="R224" s="336"/>
      <c r="S224" s="189">
        <v>32400</v>
      </c>
      <c r="T224" s="189">
        <f t="shared" si="59"/>
        <v>0</v>
      </c>
      <c r="U224" s="336"/>
      <c r="V224" s="189">
        <v>32400</v>
      </c>
      <c r="W224" s="189">
        <f t="shared" si="60"/>
        <v>0</v>
      </c>
      <c r="X224" s="336"/>
      <c r="Y224" s="191">
        <v>3931</v>
      </c>
      <c r="Z224" s="192">
        <f t="shared" si="54"/>
        <v>0.12132716049382716</v>
      </c>
      <c r="AA224" s="192"/>
      <c r="AB224" s="12"/>
    </row>
    <row r="225" spans="3:28" s="10" customFormat="1" ht="28.5" x14ac:dyDescent="0.2">
      <c r="C225" s="281" t="s">
        <v>126</v>
      </c>
      <c r="D225" s="282" t="s">
        <v>500</v>
      </c>
      <c r="E225" s="82">
        <f t="shared" ref="E225:M225" si="64">SUM(E226:E229)</f>
        <v>486687.74134467135</v>
      </c>
      <c r="F225" s="85">
        <f t="shared" si="64"/>
        <v>135711</v>
      </c>
      <c r="G225" s="84">
        <f>SUM(G226:G229)</f>
        <v>832074</v>
      </c>
      <c r="H225" s="83">
        <f t="shared" si="64"/>
        <v>0</v>
      </c>
      <c r="I225" s="83">
        <f t="shared" si="64"/>
        <v>0</v>
      </c>
      <c r="J225" s="83">
        <f t="shared" si="64"/>
        <v>0</v>
      </c>
      <c r="K225" s="83"/>
      <c r="L225" s="83">
        <f t="shared" si="64"/>
        <v>162041</v>
      </c>
      <c r="M225" s="85">
        <f t="shared" si="64"/>
        <v>162041</v>
      </c>
      <c r="N225" s="85">
        <f t="shared" si="55"/>
        <v>-670033</v>
      </c>
      <c r="O225" s="86">
        <f t="shared" si="63"/>
        <v>-0.80525650362828305</v>
      </c>
      <c r="P225" s="85">
        <f>SUM(P226:P229)</f>
        <v>162041</v>
      </c>
      <c r="Q225" s="85">
        <f t="shared" si="53"/>
        <v>0</v>
      </c>
      <c r="R225" s="86"/>
      <c r="S225" s="85">
        <f>SUM(S226:S229)</f>
        <v>162041</v>
      </c>
      <c r="T225" s="85">
        <f t="shared" si="59"/>
        <v>0</v>
      </c>
      <c r="U225" s="86"/>
      <c r="V225" s="85">
        <f>SUM(V226:V229)</f>
        <v>162041</v>
      </c>
      <c r="W225" s="85">
        <f t="shared" si="60"/>
        <v>0</v>
      </c>
      <c r="X225" s="86"/>
      <c r="Y225" s="87">
        <f>SUM(Y226:Y229)</f>
        <v>141923</v>
      </c>
      <c r="Z225" s="88">
        <f t="shared" si="54"/>
        <v>0.87584623644633153</v>
      </c>
      <c r="AA225" s="88"/>
      <c r="AB225" s="276"/>
    </row>
    <row r="226" spans="3:28" s="68" customFormat="1" hidden="1" outlineLevel="1" x14ac:dyDescent="0.25">
      <c r="C226" s="277" t="s">
        <v>137</v>
      </c>
      <c r="D226" s="278" t="s">
        <v>501</v>
      </c>
      <c r="E226" s="186">
        <v>0</v>
      </c>
      <c r="F226" s="189">
        <v>0</v>
      </c>
      <c r="G226" s="188">
        <v>0</v>
      </c>
      <c r="H226" s="187">
        <v>0</v>
      </c>
      <c r="I226" s="187">
        <v>0</v>
      </c>
      <c r="J226" s="187">
        <v>0</v>
      </c>
      <c r="K226" s="187"/>
      <c r="L226" s="187">
        <v>0</v>
      </c>
      <c r="M226" s="189">
        <v>0</v>
      </c>
      <c r="N226" s="189">
        <f t="shared" si="55"/>
        <v>0</v>
      </c>
      <c r="O226" s="190" t="e">
        <f t="shared" si="63"/>
        <v>#DIV/0!</v>
      </c>
      <c r="P226" s="189">
        <v>0</v>
      </c>
      <c r="Q226" s="189">
        <f t="shared" si="53"/>
        <v>0</v>
      </c>
      <c r="R226" s="190"/>
      <c r="S226" s="189">
        <v>0</v>
      </c>
      <c r="T226" s="189">
        <f t="shared" si="59"/>
        <v>0</v>
      </c>
      <c r="U226" s="190"/>
      <c r="V226" s="189">
        <v>0</v>
      </c>
      <c r="W226" s="189">
        <f t="shared" si="60"/>
        <v>0</v>
      </c>
      <c r="X226" s="190"/>
      <c r="Y226" s="191">
        <v>0</v>
      </c>
      <c r="Z226" s="192" t="e">
        <f t="shared" si="54"/>
        <v>#DIV/0!</v>
      </c>
      <c r="AA226" s="192"/>
      <c r="AB226" s="214"/>
    </row>
    <row r="227" spans="3:28" s="68" customFormat="1" hidden="1" outlineLevel="1" x14ac:dyDescent="0.25">
      <c r="C227" s="277" t="s">
        <v>140</v>
      </c>
      <c r="D227" s="278" t="s">
        <v>502</v>
      </c>
      <c r="E227" s="186">
        <v>0</v>
      </c>
      <c r="F227" s="189">
        <v>0</v>
      </c>
      <c r="G227" s="188">
        <v>0</v>
      </c>
      <c r="H227" s="187">
        <v>0</v>
      </c>
      <c r="I227" s="187">
        <v>0</v>
      </c>
      <c r="J227" s="187">
        <v>0</v>
      </c>
      <c r="K227" s="187"/>
      <c r="L227" s="187">
        <v>0</v>
      </c>
      <c r="M227" s="189">
        <v>0</v>
      </c>
      <c r="N227" s="189">
        <f t="shared" si="55"/>
        <v>0</v>
      </c>
      <c r="O227" s="190" t="e">
        <f t="shared" si="63"/>
        <v>#DIV/0!</v>
      </c>
      <c r="P227" s="189">
        <v>0</v>
      </c>
      <c r="Q227" s="189">
        <f t="shared" si="53"/>
        <v>0</v>
      </c>
      <c r="R227" s="190"/>
      <c r="S227" s="189">
        <v>0</v>
      </c>
      <c r="T227" s="189">
        <f t="shared" si="59"/>
        <v>0</v>
      </c>
      <c r="U227" s="190"/>
      <c r="V227" s="189">
        <v>0</v>
      </c>
      <c r="W227" s="189">
        <f t="shared" si="60"/>
        <v>0</v>
      </c>
      <c r="X227" s="190"/>
      <c r="Y227" s="191">
        <v>0</v>
      </c>
      <c r="Z227" s="192" t="e">
        <f t="shared" si="54"/>
        <v>#DIV/0!</v>
      </c>
      <c r="AA227" s="192"/>
      <c r="AB227" s="214"/>
    </row>
    <row r="228" spans="3:28" s="10" customFormat="1" ht="30" collapsed="1" x14ac:dyDescent="0.25">
      <c r="C228" s="277" t="s">
        <v>128</v>
      </c>
      <c r="D228" s="278" t="s">
        <v>503</v>
      </c>
      <c r="E228" s="186">
        <f>335948.571721277+13442</f>
        <v>349390.57172127703</v>
      </c>
      <c r="F228" s="189"/>
      <c r="G228" s="188">
        <v>652074</v>
      </c>
      <c r="H228" s="187"/>
      <c r="I228" s="187">
        <v>0</v>
      </c>
      <c r="J228" s="187">
        <v>0</v>
      </c>
      <c r="K228" s="187"/>
      <c r="L228" s="187">
        <f>[4]Izmaksu_veidi!AJ60-82000-15000+1960</f>
        <v>147923</v>
      </c>
      <c r="M228" s="189">
        <f>H228+I228+J228+K228+L228</f>
        <v>147923</v>
      </c>
      <c r="N228" s="189">
        <f t="shared" si="55"/>
        <v>-504151</v>
      </c>
      <c r="O228" s="190">
        <f t="shared" si="63"/>
        <v>-0.77314997991025558</v>
      </c>
      <c r="P228" s="189">
        <v>147923</v>
      </c>
      <c r="Q228" s="189">
        <f t="shared" si="53"/>
        <v>0</v>
      </c>
      <c r="R228" s="190"/>
      <c r="S228" s="189">
        <v>147923</v>
      </c>
      <c r="T228" s="189">
        <f t="shared" si="59"/>
        <v>0</v>
      </c>
      <c r="U228" s="190"/>
      <c r="V228" s="189">
        <v>147923</v>
      </c>
      <c r="W228" s="189">
        <f t="shared" si="60"/>
        <v>0</v>
      </c>
      <c r="X228" s="190"/>
      <c r="Y228" s="191">
        <v>141923</v>
      </c>
      <c r="Z228" s="192">
        <f t="shared" si="54"/>
        <v>0.95943835644220299</v>
      </c>
      <c r="AA228" s="193" t="s">
        <v>504</v>
      </c>
    </row>
    <row r="229" spans="3:28" ht="15.75" thickBot="1" x14ac:dyDescent="0.3">
      <c r="C229" s="277" t="s">
        <v>131</v>
      </c>
      <c r="D229" s="278" t="s">
        <v>505</v>
      </c>
      <c r="E229" s="186">
        <v>137297.16962339429</v>
      </c>
      <c r="F229" s="189">
        <v>135711</v>
      </c>
      <c r="G229" s="188">
        <v>180000</v>
      </c>
      <c r="H229" s="187"/>
      <c r="I229" s="187">
        <v>0</v>
      </c>
      <c r="J229" s="187">
        <v>0</v>
      </c>
      <c r="K229" s="187"/>
      <c r="L229" s="187">
        <f>[4]Investicijas!E57</f>
        <v>14118</v>
      </c>
      <c r="M229" s="189">
        <f>H229+I229+J229+K229+L229</f>
        <v>14118</v>
      </c>
      <c r="N229" s="189">
        <f t="shared" si="55"/>
        <v>-165882</v>
      </c>
      <c r="O229" s="190">
        <f t="shared" si="63"/>
        <v>-0.92156666666666665</v>
      </c>
      <c r="P229" s="189">
        <v>14118</v>
      </c>
      <c r="Q229" s="189">
        <f t="shared" si="53"/>
        <v>0</v>
      </c>
      <c r="R229" s="190"/>
      <c r="S229" s="189">
        <v>14118</v>
      </c>
      <c r="T229" s="189">
        <f t="shared" si="59"/>
        <v>0</v>
      </c>
      <c r="U229" s="190"/>
      <c r="V229" s="189">
        <v>14118</v>
      </c>
      <c r="W229" s="189">
        <f t="shared" si="60"/>
        <v>0</v>
      </c>
      <c r="X229" s="190"/>
      <c r="Y229" s="191"/>
      <c r="Z229" s="192">
        <f t="shared" si="54"/>
        <v>0</v>
      </c>
      <c r="AA229" s="192"/>
    </row>
    <row r="230" spans="3:28" ht="15.75" thickBot="1" x14ac:dyDescent="0.3">
      <c r="C230" s="393"/>
      <c r="D230" s="394" t="s">
        <v>506</v>
      </c>
      <c r="E230" s="395">
        <f>E115+E126+E128+E131+E132+E150+E154+E173+E165+E225</f>
        <v>15300788.026782734</v>
      </c>
      <c r="F230" s="396">
        <f>F115+F126+F128+F131+F132+F150+F154+F173+F165+F225</f>
        <v>17402085.915265664</v>
      </c>
      <c r="G230" s="397">
        <f t="shared" ref="G230:M230" si="65">G115+G126+G128+G131+G132+G154+G165+G173+G225</f>
        <v>16765381.283999279</v>
      </c>
      <c r="H230" s="396">
        <f t="shared" si="65"/>
        <v>135713.37</v>
      </c>
      <c r="I230" s="396">
        <f t="shared" si="65"/>
        <v>2621381</v>
      </c>
      <c r="J230" s="396">
        <f t="shared" si="65"/>
        <v>1967290.13</v>
      </c>
      <c r="K230" s="396">
        <f t="shared" si="65"/>
        <v>4961373.4875999996</v>
      </c>
      <c r="L230" s="396">
        <f t="shared" si="65"/>
        <v>12353609.412527747</v>
      </c>
      <c r="M230" s="398">
        <f t="shared" si="65"/>
        <v>22039367.400127746</v>
      </c>
      <c r="N230" s="398">
        <f t="shared" si="55"/>
        <v>5273986.116128467</v>
      </c>
      <c r="O230" s="399"/>
      <c r="P230" s="398">
        <f>P115+P126+P128+P131+P132+P154+P165+P173+P225</f>
        <v>22073021.614594415</v>
      </c>
      <c r="Q230" s="398">
        <f t="shared" si="53"/>
        <v>33654.214466668665</v>
      </c>
      <c r="R230" s="399"/>
      <c r="S230" s="398">
        <f>S115+S126+S128+S131+S132+S154+S165+S173+S225</f>
        <v>22074455.614594415</v>
      </c>
      <c r="T230" s="398">
        <f t="shared" si="59"/>
        <v>1434</v>
      </c>
      <c r="U230" s="399"/>
      <c r="V230" s="398">
        <f>V115+V126+V128+V131+V132+V154+V165+V173+V225</f>
        <v>22108463.054594412</v>
      </c>
      <c r="W230" s="398">
        <f>V230-S230</f>
        <v>34007.439999997616</v>
      </c>
      <c r="X230" s="399"/>
      <c r="Y230" s="400">
        <f>Y115+Y126+Y128+Y131+Y132+Y154+Y173+Y165+Y225</f>
        <v>2611768</v>
      </c>
      <c r="Z230" s="401">
        <f t="shared" si="54"/>
        <v>0.11813430872831489</v>
      </c>
      <c r="AA230" s="401"/>
    </row>
    <row r="231" spans="3:28" s="10" customFormat="1" ht="15.75" thickBot="1" x14ac:dyDescent="0.3">
      <c r="C231" s="281" t="s">
        <v>133</v>
      </c>
      <c r="D231" s="282" t="s">
        <v>507</v>
      </c>
      <c r="E231" s="82">
        <v>396693.81506081356</v>
      </c>
      <c r="F231" s="85">
        <v>866624</v>
      </c>
      <c r="G231" s="84">
        <v>898430</v>
      </c>
      <c r="H231" s="83"/>
      <c r="I231" s="83"/>
      <c r="J231" s="83">
        <f>J232</f>
        <v>0</v>
      </c>
      <c r="K231" s="83"/>
      <c r="L231" s="83">
        <f>[4]Izmaksu_veidi!BJ60</f>
        <v>712247</v>
      </c>
      <c r="M231" s="85">
        <f>I231+J231+L231</f>
        <v>712247</v>
      </c>
      <c r="N231" s="85">
        <f t="shared" si="55"/>
        <v>-186183</v>
      </c>
      <c r="O231" s="402">
        <f>N231/G231</f>
        <v>-0.20723150384559733</v>
      </c>
      <c r="P231" s="85">
        <v>712247</v>
      </c>
      <c r="Q231" s="85">
        <f t="shared" si="53"/>
        <v>0</v>
      </c>
      <c r="R231" s="402"/>
      <c r="S231" s="85">
        <v>712247</v>
      </c>
      <c r="T231" s="85">
        <f t="shared" si="59"/>
        <v>0</v>
      </c>
      <c r="U231" s="402"/>
      <c r="V231" s="85">
        <v>712247</v>
      </c>
      <c r="W231" s="85">
        <f t="shared" si="60"/>
        <v>0</v>
      </c>
      <c r="X231" s="402"/>
      <c r="Y231" s="87">
        <v>204397</v>
      </c>
      <c r="Z231" s="88">
        <f t="shared" si="54"/>
        <v>0.28697488371309393</v>
      </c>
      <c r="AA231" s="88"/>
    </row>
    <row r="232" spans="3:28" s="68" customFormat="1" ht="15.75" hidden="1" outlineLevel="1" thickBot="1" x14ac:dyDescent="0.3">
      <c r="C232" s="68" t="s">
        <v>137</v>
      </c>
      <c r="D232" s="68" t="s">
        <v>508</v>
      </c>
      <c r="E232" s="403" t="e">
        <f>SUM(#REF!)</f>
        <v>#REF!</v>
      </c>
      <c r="F232" s="386" t="e">
        <f>SUM(#REF!)</f>
        <v>#REF!</v>
      </c>
      <c r="G232" s="404" t="e">
        <f>SUM(#REF!)</f>
        <v>#REF!</v>
      </c>
      <c r="H232" s="386" t="e">
        <f>SUM(#REF!)</f>
        <v>#REF!</v>
      </c>
      <c r="I232" s="386"/>
      <c r="J232" s="386"/>
      <c r="K232" s="386"/>
      <c r="L232" s="386" t="e">
        <f>SUM(#REF!)</f>
        <v>#REF!</v>
      </c>
      <c r="M232" s="387" t="e">
        <f>SUM(#REF!)</f>
        <v>#REF!</v>
      </c>
      <c r="N232" s="387" t="e">
        <f t="shared" si="55"/>
        <v>#REF!</v>
      </c>
      <c r="O232" s="388"/>
      <c r="P232" s="387" t="e">
        <f>SUM(#REF!)</f>
        <v>#REF!</v>
      </c>
      <c r="Q232" s="387" t="e">
        <f t="shared" si="53"/>
        <v>#REF!</v>
      </c>
      <c r="R232" s="388"/>
      <c r="S232" s="387" t="e">
        <f>SUM(#REF!)</f>
        <v>#REF!</v>
      </c>
      <c r="T232" s="387" t="e">
        <f t="shared" si="59"/>
        <v>#REF!</v>
      </c>
      <c r="U232" s="388"/>
      <c r="V232" s="387" t="e">
        <f>SUM(#REF!)</f>
        <v>#REF!</v>
      </c>
      <c r="W232" s="387" t="e">
        <f t="shared" si="60"/>
        <v>#REF!</v>
      </c>
      <c r="X232" s="388"/>
      <c r="Y232" s="405" t="e">
        <f>SUM(#REF!)</f>
        <v>#REF!</v>
      </c>
      <c r="Z232" s="389" t="e">
        <f t="shared" si="54"/>
        <v>#REF!</v>
      </c>
      <c r="AA232" s="389"/>
      <c r="AB232" s="214"/>
    </row>
    <row r="233" spans="3:28" ht="15.75" collapsed="1" thickBot="1" x14ac:dyDescent="0.3">
      <c r="C233" s="393"/>
      <c r="D233" s="394" t="s">
        <v>509</v>
      </c>
      <c r="E233" s="406">
        <f t="shared" ref="E233:M233" si="66">E230+E231</f>
        <v>15697481.841843547</v>
      </c>
      <c r="F233" s="407">
        <f t="shared" si="66"/>
        <v>18268709.915265664</v>
      </c>
      <c r="G233" s="408">
        <f>G230+G231</f>
        <v>17663811.283999279</v>
      </c>
      <c r="H233" s="407">
        <f t="shared" si="66"/>
        <v>135713.37</v>
      </c>
      <c r="I233" s="407">
        <f t="shared" si="66"/>
        <v>2621381</v>
      </c>
      <c r="J233" s="407">
        <f t="shared" si="66"/>
        <v>1967290.13</v>
      </c>
      <c r="K233" s="407">
        <f t="shared" si="66"/>
        <v>4961373.4875999996</v>
      </c>
      <c r="L233" s="407">
        <f t="shared" si="66"/>
        <v>13065856.412527747</v>
      </c>
      <c r="M233" s="409">
        <f t="shared" si="66"/>
        <v>22751614.400127746</v>
      </c>
      <c r="N233" s="409">
        <f t="shared" si="55"/>
        <v>5087803.116128467</v>
      </c>
      <c r="O233" s="410"/>
      <c r="P233" s="409">
        <f>P230+P231</f>
        <v>22785268.614594415</v>
      </c>
      <c r="Q233" s="409">
        <f t="shared" si="53"/>
        <v>33654.214466668665</v>
      </c>
      <c r="R233" s="410"/>
      <c r="S233" s="409">
        <f>S230+S231</f>
        <v>22786702.614594415</v>
      </c>
      <c r="T233" s="409">
        <f t="shared" si="59"/>
        <v>1434</v>
      </c>
      <c r="U233" s="410"/>
      <c r="V233" s="409">
        <f>V230+V231</f>
        <v>22820710.054594412</v>
      </c>
      <c r="W233" s="409">
        <f>V233-S233</f>
        <v>34007.439999997616</v>
      </c>
      <c r="X233" s="410"/>
      <c r="Y233" s="411">
        <f>Y230+Y231</f>
        <v>2816165</v>
      </c>
      <c r="Z233" s="412">
        <f t="shared" si="54"/>
        <v>0.12340391658554163</v>
      </c>
      <c r="AA233" s="412"/>
    </row>
    <row r="234" spans="3:28" ht="30.75" thickTop="1" thickBot="1" x14ac:dyDescent="0.3">
      <c r="C234" s="413" t="s">
        <v>510</v>
      </c>
      <c r="D234" s="414" t="s">
        <v>511</v>
      </c>
      <c r="E234" s="415">
        <f t="shared" ref="E234:M234" si="67">E109-E233</f>
        <v>-879241.17186134309</v>
      </c>
      <c r="F234" s="416">
        <f t="shared" si="67"/>
        <v>-2134890.7782530226</v>
      </c>
      <c r="G234" s="417">
        <f t="shared" si="67"/>
        <v>138413.89631379023</v>
      </c>
      <c r="H234" s="416">
        <f t="shared" si="67"/>
        <v>0</v>
      </c>
      <c r="I234" s="416">
        <f t="shared" si="67"/>
        <v>0.10868000006303191</v>
      </c>
      <c r="J234" s="416">
        <f t="shared" si="67"/>
        <v>0</v>
      </c>
      <c r="K234" s="416">
        <f t="shared" si="67"/>
        <v>0</v>
      </c>
      <c r="L234" s="416">
        <f t="shared" si="67"/>
        <v>100115.24539995007</v>
      </c>
      <c r="M234" s="418">
        <f t="shared" si="67"/>
        <v>100115.3540799506</v>
      </c>
      <c r="N234" s="418">
        <f t="shared" si="55"/>
        <v>-38298.542233839631</v>
      </c>
      <c r="O234" s="419">
        <f>N234/G234</f>
        <v>-0.27669578888968777</v>
      </c>
      <c r="P234" s="418">
        <f>P109-P233</f>
        <v>119269.37711328268</v>
      </c>
      <c r="Q234" s="418">
        <f t="shared" si="53"/>
        <v>19154.02303333208</v>
      </c>
      <c r="R234" s="419"/>
      <c r="S234" s="418">
        <f>S109-S233</f>
        <v>120451.99961328506</v>
      </c>
      <c r="T234" s="418">
        <f t="shared" si="59"/>
        <v>1182.6225000023842</v>
      </c>
      <c r="U234" s="419"/>
      <c r="V234" s="418">
        <f>V109-V233</f>
        <v>127533.99961328506</v>
      </c>
      <c r="W234" s="418">
        <f t="shared" si="60"/>
        <v>7082</v>
      </c>
      <c r="X234" s="419"/>
      <c r="Y234" s="420">
        <f>Y109-Y233</f>
        <v>2335142</v>
      </c>
      <c r="Z234" s="421">
        <f t="shared" si="54"/>
        <v>18.309956616123809</v>
      </c>
      <c r="AA234" s="421"/>
    </row>
    <row r="235" spans="3:28" x14ac:dyDescent="0.25">
      <c r="D235" s="13"/>
      <c r="E235" s="422"/>
      <c r="F235" s="423"/>
      <c r="G235" s="424"/>
      <c r="H235" s="425"/>
      <c r="I235" s="425"/>
      <c r="J235" s="425"/>
      <c r="K235" s="425"/>
      <c r="L235" s="425"/>
      <c r="M235" s="96"/>
      <c r="N235" s="96"/>
      <c r="O235" s="276"/>
      <c r="P235" s="96"/>
      <c r="Q235" s="96"/>
      <c r="R235" s="276"/>
      <c r="S235" s="96"/>
      <c r="T235" s="96"/>
      <c r="U235" s="276"/>
      <c r="V235" s="96"/>
      <c r="W235" s="96"/>
      <c r="X235" s="276"/>
      <c r="Y235" s="426"/>
      <c r="Z235" s="427"/>
      <c r="AA235" s="427"/>
    </row>
  </sheetData>
  <mergeCells count="4">
    <mergeCell ref="C1:D1"/>
    <mergeCell ref="C3:D3"/>
    <mergeCell ref="C112:D112"/>
    <mergeCell ref="C113:D113"/>
  </mergeCells>
  <conditionalFormatting sqref="M234">
    <cfRule type="cellIs" dxfId="4" priority="5" operator="lessThan">
      <formula>0</formula>
    </cfRule>
  </conditionalFormatting>
  <conditionalFormatting sqref="G234">
    <cfRule type="cellIs" dxfId="3" priority="4" operator="lessThan">
      <formula>0</formula>
    </cfRule>
  </conditionalFormatting>
  <conditionalFormatting sqref="P234">
    <cfRule type="cellIs" dxfId="2" priority="3" operator="lessThan">
      <formula>0</formula>
    </cfRule>
  </conditionalFormatting>
  <conditionalFormatting sqref="S234">
    <cfRule type="cellIs" dxfId="1" priority="2" operator="lessThan">
      <formula>0</formula>
    </cfRule>
  </conditionalFormatting>
  <conditionalFormatting sqref="V234">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71" fitToHeight="0" orientation="landscape" r:id="rId1"/>
  <rowBreaks count="7" manualBreakCount="7">
    <brk id="38" min="2" max="26" man="1"/>
    <brk id="85" min="2" max="26" man="1"/>
    <brk id="112" min="2" max="26" man="1"/>
    <brk id="147" min="2" max="26" man="1"/>
    <brk id="153" min="2" max="26" man="1"/>
    <brk id="207" min="2" max="26" man="1"/>
    <brk id="234" max="5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1026"/>
  <sheetViews>
    <sheetView showGridLines="0" topLeftCell="A1009" zoomScaleNormal="100" zoomScaleSheetLayoutView="70" workbookViewId="0">
      <selection activeCell="A1014" sqref="A1014:D1014"/>
    </sheetView>
  </sheetViews>
  <sheetFormatPr defaultRowHeight="15.75" x14ac:dyDescent="0.25"/>
  <cols>
    <col min="1" max="1" width="12.85546875" style="540" customWidth="1"/>
    <col min="2" max="2" width="50.85546875" style="553" customWidth="1"/>
    <col min="3" max="3" width="16" style="508" customWidth="1"/>
    <col min="4" max="4" width="13.28515625" style="508" customWidth="1"/>
    <col min="5" max="5" width="12.42578125" style="508" customWidth="1"/>
    <col min="6" max="6" width="13" style="508" customWidth="1"/>
    <col min="7" max="7" width="0" style="524" hidden="1" customWidth="1"/>
    <col min="8" max="9" width="8.85546875" style="431" customWidth="1"/>
    <col min="10" max="11" width="8.7109375" style="431" customWidth="1"/>
    <col min="12" max="21" width="9.140625" style="431"/>
    <col min="22" max="24" width="0" style="431" hidden="1" customWidth="1"/>
    <col min="25" max="247" width="9.140625" style="431"/>
    <col min="248" max="256" width="9.140625" style="565"/>
    <col min="257" max="257" width="12.85546875" style="565" customWidth="1"/>
    <col min="258" max="258" width="50.85546875" style="565" customWidth="1"/>
    <col min="259" max="259" width="13.7109375" style="565" customWidth="1"/>
    <col min="260" max="260" width="13.28515625" style="565" customWidth="1"/>
    <col min="261" max="261" width="12.42578125" style="565" customWidth="1"/>
    <col min="262" max="262" width="13" style="565" customWidth="1"/>
    <col min="263" max="263" width="0" style="565" hidden="1" customWidth="1"/>
    <col min="264" max="265" width="8.85546875" style="565" customWidth="1"/>
    <col min="266" max="267" width="8.7109375" style="565" customWidth="1"/>
    <col min="268" max="277" width="9.140625" style="565"/>
    <col min="278" max="280" width="0" style="565" hidden="1" customWidth="1"/>
    <col min="281" max="512" width="9.140625" style="565"/>
    <col min="513" max="513" width="12.85546875" style="565" customWidth="1"/>
    <col min="514" max="514" width="50.85546875" style="565" customWidth="1"/>
    <col min="515" max="515" width="13.7109375" style="565" customWidth="1"/>
    <col min="516" max="516" width="13.28515625" style="565" customWidth="1"/>
    <col min="517" max="517" width="12.42578125" style="565" customWidth="1"/>
    <col min="518" max="518" width="13" style="565" customWidth="1"/>
    <col min="519" max="519" width="0" style="565" hidden="1" customWidth="1"/>
    <col min="520" max="521" width="8.85546875" style="565" customWidth="1"/>
    <col min="522" max="523" width="8.7109375" style="565" customWidth="1"/>
    <col min="524" max="533" width="9.140625" style="565"/>
    <col min="534" max="536" width="0" style="565" hidden="1" customWidth="1"/>
    <col min="537" max="768" width="9.140625" style="565"/>
    <col min="769" max="769" width="12.85546875" style="565" customWidth="1"/>
    <col min="770" max="770" width="50.85546875" style="565" customWidth="1"/>
    <col min="771" max="771" width="13.7109375" style="565" customWidth="1"/>
    <col min="772" max="772" width="13.28515625" style="565" customWidth="1"/>
    <col min="773" max="773" width="12.42578125" style="565" customWidth="1"/>
    <col min="774" max="774" width="13" style="565" customWidth="1"/>
    <col min="775" max="775" width="0" style="565" hidden="1" customWidth="1"/>
    <col min="776" max="777" width="8.85546875" style="565" customWidth="1"/>
    <col min="778" max="779" width="8.7109375" style="565" customWidth="1"/>
    <col min="780" max="789" width="9.140625" style="565"/>
    <col min="790" max="792" width="0" style="565" hidden="1" customWidth="1"/>
    <col min="793" max="1024" width="9.140625" style="565"/>
    <col min="1025" max="1025" width="12.85546875" style="565" customWidth="1"/>
    <col min="1026" max="1026" width="50.85546875" style="565" customWidth="1"/>
    <col min="1027" max="1027" width="13.7109375" style="565" customWidth="1"/>
    <col min="1028" max="1028" width="13.28515625" style="565" customWidth="1"/>
    <col min="1029" max="1029" width="12.42578125" style="565" customWidth="1"/>
    <col min="1030" max="1030" width="13" style="565" customWidth="1"/>
    <col min="1031" max="1031" width="0" style="565" hidden="1" customWidth="1"/>
    <col min="1032" max="1033" width="8.85546875" style="565" customWidth="1"/>
    <col min="1034" max="1035" width="8.7109375" style="565" customWidth="1"/>
    <col min="1036" max="1045" width="9.140625" style="565"/>
    <col min="1046" max="1048" width="0" style="565" hidden="1" customWidth="1"/>
    <col min="1049" max="1280" width="9.140625" style="565"/>
    <col min="1281" max="1281" width="12.85546875" style="565" customWidth="1"/>
    <col min="1282" max="1282" width="50.85546875" style="565" customWidth="1"/>
    <col min="1283" max="1283" width="13.7109375" style="565" customWidth="1"/>
    <col min="1284" max="1284" width="13.28515625" style="565" customWidth="1"/>
    <col min="1285" max="1285" width="12.42578125" style="565" customWidth="1"/>
    <col min="1286" max="1286" width="13" style="565" customWidth="1"/>
    <col min="1287" max="1287" width="0" style="565" hidden="1" customWidth="1"/>
    <col min="1288" max="1289" width="8.85546875" style="565" customWidth="1"/>
    <col min="1290" max="1291" width="8.7109375" style="565" customWidth="1"/>
    <col min="1292" max="1301" width="9.140625" style="565"/>
    <col min="1302" max="1304" width="0" style="565" hidden="1" customWidth="1"/>
    <col min="1305" max="1536" width="9.140625" style="565"/>
    <col min="1537" max="1537" width="12.85546875" style="565" customWidth="1"/>
    <col min="1538" max="1538" width="50.85546875" style="565" customWidth="1"/>
    <col min="1539" max="1539" width="13.7109375" style="565" customWidth="1"/>
    <col min="1540" max="1540" width="13.28515625" style="565" customWidth="1"/>
    <col min="1541" max="1541" width="12.42578125" style="565" customWidth="1"/>
    <col min="1542" max="1542" width="13" style="565" customWidth="1"/>
    <col min="1543" max="1543" width="0" style="565" hidden="1" customWidth="1"/>
    <col min="1544" max="1545" width="8.85546875" style="565" customWidth="1"/>
    <col min="1546" max="1547" width="8.7109375" style="565" customWidth="1"/>
    <col min="1548" max="1557" width="9.140625" style="565"/>
    <col min="1558" max="1560" width="0" style="565" hidden="1" customWidth="1"/>
    <col min="1561" max="1792" width="9.140625" style="565"/>
    <col min="1793" max="1793" width="12.85546875" style="565" customWidth="1"/>
    <col min="1794" max="1794" width="50.85546875" style="565" customWidth="1"/>
    <col min="1795" max="1795" width="13.7109375" style="565" customWidth="1"/>
    <col min="1796" max="1796" width="13.28515625" style="565" customWidth="1"/>
    <col min="1797" max="1797" width="12.42578125" style="565" customWidth="1"/>
    <col min="1798" max="1798" width="13" style="565" customWidth="1"/>
    <col min="1799" max="1799" width="0" style="565" hidden="1" customWidth="1"/>
    <col min="1800" max="1801" width="8.85546875" style="565" customWidth="1"/>
    <col min="1802" max="1803" width="8.7109375" style="565" customWidth="1"/>
    <col min="1804" max="1813" width="9.140625" style="565"/>
    <col min="1814" max="1816" width="0" style="565" hidden="1" customWidth="1"/>
    <col min="1817" max="2048" width="9.140625" style="565"/>
    <col min="2049" max="2049" width="12.85546875" style="565" customWidth="1"/>
    <col min="2050" max="2050" width="50.85546875" style="565" customWidth="1"/>
    <col min="2051" max="2051" width="13.7109375" style="565" customWidth="1"/>
    <col min="2052" max="2052" width="13.28515625" style="565" customWidth="1"/>
    <col min="2053" max="2053" width="12.42578125" style="565" customWidth="1"/>
    <col min="2054" max="2054" width="13" style="565" customWidth="1"/>
    <col min="2055" max="2055" width="0" style="565" hidden="1" customWidth="1"/>
    <col min="2056" max="2057" width="8.85546875" style="565" customWidth="1"/>
    <col min="2058" max="2059" width="8.7109375" style="565" customWidth="1"/>
    <col min="2060" max="2069" width="9.140625" style="565"/>
    <col min="2070" max="2072" width="0" style="565" hidden="1" customWidth="1"/>
    <col min="2073" max="2304" width="9.140625" style="565"/>
    <col min="2305" max="2305" width="12.85546875" style="565" customWidth="1"/>
    <col min="2306" max="2306" width="50.85546875" style="565" customWidth="1"/>
    <col min="2307" max="2307" width="13.7109375" style="565" customWidth="1"/>
    <col min="2308" max="2308" width="13.28515625" style="565" customWidth="1"/>
    <col min="2309" max="2309" width="12.42578125" style="565" customWidth="1"/>
    <col min="2310" max="2310" width="13" style="565" customWidth="1"/>
    <col min="2311" max="2311" width="0" style="565" hidden="1" customWidth="1"/>
    <col min="2312" max="2313" width="8.85546875" style="565" customWidth="1"/>
    <col min="2314" max="2315" width="8.7109375" style="565" customWidth="1"/>
    <col min="2316" max="2325" width="9.140625" style="565"/>
    <col min="2326" max="2328" width="0" style="565" hidden="1" customWidth="1"/>
    <col min="2329" max="2560" width="9.140625" style="565"/>
    <col min="2561" max="2561" width="12.85546875" style="565" customWidth="1"/>
    <col min="2562" max="2562" width="50.85546875" style="565" customWidth="1"/>
    <col min="2563" max="2563" width="13.7109375" style="565" customWidth="1"/>
    <col min="2564" max="2564" width="13.28515625" style="565" customWidth="1"/>
    <col min="2565" max="2565" width="12.42578125" style="565" customWidth="1"/>
    <col min="2566" max="2566" width="13" style="565" customWidth="1"/>
    <col min="2567" max="2567" width="0" style="565" hidden="1" customWidth="1"/>
    <col min="2568" max="2569" width="8.85546875" style="565" customWidth="1"/>
    <col min="2570" max="2571" width="8.7109375" style="565" customWidth="1"/>
    <col min="2572" max="2581" width="9.140625" style="565"/>
    <col min="2582" max="2584" width="0" style="565" hidden="1" customWidth="1"/>
    <col min="2585" max="2816" width="9.140625" style="565"/>
    <col min="2817" max="2817" width="12.85546875" style="565" customWidth="1"/>
    <col min="2818" max="2818" width="50.85546875" style="565" customWidth="1"/>
    <col min="2819" max="2819" width="13.7109375" style="565" customWidth="1"/>
    <col min="2820" max="2820" width="13.28515625" style="565" customWidth="1"/>
    <col min="2821" max="2821" width="12.42578125" style="565" customWidth="1"/>
    <col min="2822" max="2822" width="13" style="565" customWidth="1"/>
    <col min="2823" max="2823" width="0" style="565" hidden="1" customWidth="1"/>
    <col min="2824" max="2825" width="8.85546875" style="565" customWidth="1"/>
    <col min="2826" max="2827" width="8.7109375" style="565" customWidth="1"/>
    <col min="2828" max="2837" width="9.140625" style="565"/>
    <col min="2838" max="2840" width="0" style="565" hidden="1" customWidth="1"/>
    <col min="2841" max="3072" width="9.140625" style="565"/>
    <col min="3073" max="3073" width="12.85546875" style="565" customWidth="1"/>
    <col min="3074" max="3074" width="50.85546875" style="565" customWidth="1"/>
    <col min="3075" max="3075" width="13.7109375" style="565" customWidth="1"/>
    <col min="3076" max="3076" width="13.28515625" style="565" customWidth="1"/>
    <col min="3077" max="3077" width="12.42578125" style="565" customWidth="1"/>
    <col min="3078" max="3078" width="13" style="565" customWidth="1"/>
    <col min="3079" max="3079" width="0" style="565" hidden="1" customWidth="1"/>
    <col min="3080" max="3081" width="8.85546875" style="565" customWidth="1"/>
    <col min="3082" max="3083" width="8.7109375" style="565" customWidth="1"/>
    <col min="3084" max="3093" width="9.140625" style="565"/>
    <col min="3094" max="3096" width="0" style="565" hidden="1" customWidth="1"/>
    <col min="3097" max="3328" width="9.140625" style="565"/>
    <col min="3329" max="3329" width="12.85546875" style="565" customWidth="1"/>
    <col min="3330" max="3330" width="50.85546875" style="565" customWidth="1"/>
    <col min="3331" max="3331" width="13.7109375" style="565" customWidth="1"/>
    <col min="3332" max="3332" width="13.28515625" style="565" customWidth="1"/>
    <col min="3333" max="3333" width="12.42578125" style="565" customWidth="1"/>
    <col min="3334" max="3334" width="13" style="565" customWidth="1"/>
    <col min="3335" max="3335" width="0" style="565" hidden="1" customWidth="1"/>
    <col min="3336" max="3337" width="8.85546875" style="565" customWidth="1"/>
    <col min="3338" max="3339" width="8.7109375" style="565" customWidth="1"/>
    <col min="3340" max="3349" width="9.140625" style="565"/>
    <col min="3350" max="3352" width="0" style="565" hidden="1" customWidth="1"/>
    <col min="3353" max="3584" width="9.140625" style="565"/>
    <col min="3585" max="3585" width="12.85546875" style="565" customWidth="1"/>
    <col min="3586" max="3586" width="50.85546875" style="565" customWidth="1"/>
    <col min="3587" max="3587" width="13.7109375" style="565" customWidth="1"/>
    <col min="3588" max="3588" width="13.28515625" style="565" customWidth="1"/>
    <col min="3589" max="3589" width="12.42578125" style="565" customWidth="1"/>
    <col min="3590" max="3590" width="13" style="565" customWidth="1"/>
    <col min="3591" max="3591" width="0" style="565" hidden="1" customWidth="1"/>
    <col min="3592" max="3593" width="8.85546875" style="565" customWidth="1"/>
    <col min="3594" max="3595" width="8.7109375" style="565" customWidth="1"/>
    <col min="3596" max="3605" width="9.140625" style="565"/>
    <col min="3606" max="3608" width="0" style="565" hidden="1" customWidth="1"/>
    <col min="3609" max="3840" width="9.140625" style="565"/>
    <col min="3841" max="3841" width="12.85546875" style="565" customWidth="1"/>
    <col min="3842" max="3842" width="50.85546875" style="565" customWidth="1"/>
    <col min="3843" max="3843" width="13.7109375" style="565" customWidth="1"/>
    <col min="3844" max="3844" width="13.28515625" style="565" customWidth="1"/>
    <col min="3845" max="3845" width="12.42578125" style="565" customWidth="1"/>
    <col min="3846" max="3846" width="13" style="565" customWidth="1"/>
    <col min="3847" max="3847" width="0" style="565" hidden="1" customWidth="1"/>
    <col min="3848" max="3849" width="8.85546875" style="565" customWidth="1"/>
    <col min="3850" max="3851" width="8.7109375" style="565" customWidth="1"/>
    <col min="3852" max="3861" width="9.140625" style="565"/>
    <col min="3862" max="3864" width="0" style="565" hidden="1" customWidth="1"/>
    <col min="3865" max="4096" width="9.140625" style="565"/>
    <col min="4097" max="4097" width="12.85546875" style="565" customWidth="1"/>
    <col min="4098" max="4098" width="50.85546875" style="565" customWidth="1"/>
    <col min="4099" max="4099" width="13.7109375" style="565" customWidth="1"/>
    <col min="4100" max="4100" width="13.28515625" style="565" customWidth="1"/>
    <col min="4101" max="4101" width="12.42578125" style="565" customWidth="1"/>
    <col min="4102" max="4102" width="13" style="565" customWidth="1"/>
    <col min="4103" max="4103" width="0" style="565" hidden="1" customWidth="1"/>
    <col min="4104" max="4105" width="8.85546875" style="565" customWidth="1"/>
    <col min="4106" max="4107" width="8.7109375" style="565" customWidth="1"/>
    <col min="4108" max="4117" width="9.140625" style="565"/>
    <col min="4118" max="4120" width="0" style="565" hidden="1" customWidth="1"/>
    <col min="4121" max="4352" width="9.140625" style="565"/>
    <col min="4353" max="4353" width="12.85546875" style="565" customWidth="1"/>
    <col min="4354" max="4354" width="50.85546875" style="565" customWidth="1"/>
    <col min="4355" max="4355" width="13.7109375" style="565" customWidth="1"/>
    <col min="4356" max="4356" width="13.28515625" style="565" customWidth="1"/>
    <col min="4357" max="4357" width="12.42578125" style="565" customWidth="1"/>
    <col min="4358" max="4358" width="13" style="565" customWidth="1"/>
    <col min="4359" max="4359" width="0" style="565" hidden="1" customWidth="1"/>
    <col min="4360" max="4361" width="8.85546875" style="565" customWidth="1"/>
    <col min="4362" max="4363" width="8.7109375" style="565" customWidth="1"/>
    <col min="4364" max="4373" width="9.140625" style="565"/>
    <col min="4374" max="4376" width="0" style="565" hidden="1" customWidth="1"/>
    <col min="4377" max="4608" width="9.140625" style="565"/>
    <col min="4609" max="4609" width="12.85546875" style="565" customWidth="1"/>
    <col min="4610" max="4610" width="50.85546875" style="565" customWidth="1"/>
    <col min="4611" max="4611" width="13.7109375" style="565" customWidth="1"/>
    <col min="4612" max="4612" width="13.28515625" style="565" customWidth="1"/>
    <col min="4613" max="4613" width="12.42578125" style="565" customWidth="1"/>
    <col min="4614" max="4614" width="13" style="565" customWidth="1"/>
    <col min="4615" max="4615" width="0" style="565" hidden="1" customWidth="1"/>
    <col min="4616" max="4617" width="8.85546875" style="565" customWidth="1"/>
    <col min="4618" max="4619" width="8.7109375" style="565" customWidth="1"/>
    <col min="4620" max="4629" width="9.140625" style="565"/>
    <col min="4630" max="4632" width="0" style="565" hidden="1" customWidth="1"/>
    <col min="4633" max="4864" width="9.140625" style="565"/>
    <col min="4865" max="4865" width="12.85546875" style="565" customWidth="1"/>
    <col min="4866" max="4866" width="50.85546875" style="565" customWidth="1"/>
    <col min="4867" max="4867" width="13.7109375" style="565" customWidth="1"/>
    <col min="4868" max="4868" width="13.28515625" style="565" customWidth="1"/>
    <col min="4869" max="4869" width="12.42578125" style="565" customWidth="1"/>
    <col min="4870" max="4870" width="13" style="565" customWidth="1"/>
    <col min="4871" max="4871" width="0" style="565" hidden="1" customWidth="1"/>
    <col min="4872" max="4873" width="8.85546875" style="565" customWidth="1"/>
    <col min="4874" max="4875" width="8.7109375" style="565" customWidth="1"/>
    <col min="4876" max="4885" width="9.140625" style="565"/>
    <col min="4886" max="4888" width="0" style="565" hidden="1" customWidth="1"/>
    <col min="4889" max="5120" width="9.140625" style="565"/>
    <col min="5121" max="5121" width="12.85546875" style="565" customWidth="1"/>
    <col min="5122" max="5122" width="50.85546875" style="565" customWidth="1"/>
    <col min="5123" max="5123" width="13.7109375" style="565" customWidth="1"/>
    <col min="5124" max="5124" width="13.28515625" style="565" customWidth="1"/>
    <col min="5125" max="5125" width="12.42578125" style="565" customWidth="1"/>
    <col min="5126" max="5126" width="13" style="565" customWidth="1"/>
    <col min="5127" max="5127" width="0" style="565" hidden="1" customWidth="1"/>
    <col min="5128" max="5129" width="8.85546875" style="565" customWidth="1"/>
    <col min="5130" max="5131" width="8.7109375" style="565" customWidth="1"/>
    <col min="5132" max="5141" width="9.140625" style="565"/>
    <col min="5142" max="5144" width="0" style="565" hidden="1" customWidth="1"/>
    <col min="5145" max="5376" width="9.140625" style="565"/>
    <col min="5377" max="5377" width="12.85546875" style="565" customWidth="1"/>
    <col min="5378" max="5378" width="50.85546875" style="565" customWidth="1"/>
    <col min="5379" max="5379" width="13.7109375" style="565" customWidth="1"/>
    <col min="5380" max="5380" width="13.28515625" style="565" customWidth="1"/>
    <col min="5381" max="5381" width="12.42578125" style="565" customWidth="1"/>
    <col min="5382" max="5382" width="13" style="565" customWidth="1"/>
    <col min="5383" max="5383" width="0" style="565" hidden="1" customWidth="1"/>
    <col min="5384" max="5385" width="8.85546875" style="565" customWidth="1"/>
    <col min="5386" max="5387" width="8.7109375" style="565" customWidth="1"/>
    <col min="5388" max="5397" width="9.140625" style="565"/>
    <col min="5398" max="5400" width="0" style="565" hidden="1" customWidth="1"/>
    <col min="5401" max="5632" width="9.140625" style="565"/>
    <col min="5633" max="5633" width="12.85546875" style="565" customWidth="1"/>
    <col min="5634" max="5634" width="50.85546875" style="565" customWidth="1"/>
    <col min="5635" max="5635" width="13.7109375" style="565" customWidth="1"/>
    <col min="5636" max="5636" width="13.28515625" style="565" customWidth="1"/>
    <col min="5637" max="5637" width="12.42578125" style="565" customWidth="1"/>
    <col min="5638" max="5638" width="13" style="565" customWidth="1"/>
    <col min="5639" max="5639" width="0" style="565" hidden="1" customWidth="1"/>
    <col min="5640" max="5641" width="8.85546875" style="565" customWidth="1"/>
    <col min="5642" max="5643" width="8.7109375" style="565" customWidth="1"/>
    <col min="5644" max="5653" width="9.140625" style="565"/>
    <col min="5654" max="5656" width="0" style="565" hidden="1" customWidth="1"/>
    <col min="5657" max="5888" width="9.140625" style="565"/>
    <col min="5889" max="5889" width="12.85546875" style="565" customWidth="1"/>
    <col min="5890" max="5890" width="50.85546875" style="565" customWidth="1"/>
    <col min="5891" max="5891" width="13.7109375" style="565" customWidth="1"/>
    <col min="5892" max="5892" width="13.28515625" style="565" customWidth="1"/>
    <col min="5893" max="5893" width="12.42578125" style="565" customWidth="1"/>
    <col min="5894" max="5894" width="13" style="565" customWidth="1"/>
    <col min="5895" max="5895" width="0" style="565" hidden="1" customWidth="1"/>
    <col min="5896" max="5897" width="8.85546875" style="565" customWidth="1"/>
    <col min="5898" max="5899" width="8.7109375" style="565" customWidth="1"/>
    <col min="5900" max="5909" width="9.140625" style="565"/>
    <col min="5910" max="5912" width="0" style="565" hidden="1" customWidth="1"/>
    <col min="5913" max="6144" width="9.140625" style="565"/>
    <col min="6145" max="6145" width="12.85546875" style="565" customWidth="1"/>
    <col min="6146" max="6146" width="50.85546875" style="565" customWidth="1"/>
    <col min="6147" max="6147" width="13.7109375" style="565" customWidth="1"/>
    <col min="6148" max="6148" width="13.28515625" style="565" customWidth="1"/>
    <col min="6149" max="6149" width="12.42578125" style="565" customWidth="1"/>
    <col min="6150" max="6150" width="13" style="565" customWidth="1"/>
    <col min="6151" max="6151" width="0" style="565" hidden="1" customWidth="1"/>
    <col min="6152" max="6153" width="8.85546875" style="565" customWidth="1"/>
    <col min="6154" max="6155" width="8.7109375" style="565" customWidth="1"/>
    <col min="6156" max="6165" width="9.140625" style="565"/>
    <col min="6166" max="6168" width="0" style="565" hidden="1" customWidth="1"/>
    <col min="6169" max="6400" width="9.140625" style="565"/>
    <col min="6401" max="6401" width="12.85546875" style="565" customWidth="1"/>
    <col min="6402" max="6402" width="50.85546875" style="565" customWidth="1"/>
    <col min="6403" max="6403" width="13.7109375" style="565" customWidth="1"/>
    <col min="6404" max="6404" width="13.28515625" style="565" customWidth="1"/>
    <col min="6405" max="6405" width="12.42578125" style="565" customWidth="1"/>
    <col min="6406" max="6406" width="13" style="565" customWidth="1"/>
    <col min="6407" max="6407" width="0" style="565" hidden="1" customWidth="1"/>
    <col min="6408" max="6409" width="8.85546875" style="565" customWidth="1"/>
    <col min="6410" max="6411" width="8.7109375" style="565" customWidth="1"/>
    <col min="6412" max="6421" width="9.140625" style="565"/>
    <col min="6422" max="6424" width="0" style="565" hidden="1" customWidth="1"/>
    <col min="6425" max="6656" width="9.140625" style="565"/>
    <col min="6657" max="6657" width="12.85546875" style="565" customWidth="1"/>
    <col min="6658" max="6658" width="50.85546875" style="565" customWidth="1"/>
    <col min="6659" max="6659" width="13.7109375" style="565" customWidth="1"/>
    <col min="6660" max="6660" width="13.28515625" style="565" customWidth="1"/>
    <col min="6661" max="6661" width="12.42578125" style="565" customWidth="1"/>
    <col min="6662" max="6662" width="13" style="565" customWidth="1"/>
    <col min="6663" max="6663" width="0" style="565" hidden="1" customWidth="1"/>
    <col min="6664" max="6665" width="8.85546875" style="565" customWidth="1"/>
    <col min="6666" max="6667" width="8.7109375" style="565" customWidth="1"/>
    <col min="6668" max="6677" width="9.140625" style="565"/>
    <col min="6678" max="6680" width="0" style="565" hidden="1" customWidth="1"/>
    <col min="6681" max="6912" width="9.140625" style="565"/>
    <col min="6913" max="6913" width="12.85546875" style="565" customWidth="1"/>
    <col min="6914" max="6914" width="50.85546875" style="565" customWidth="1"/>
    <col min="6915" max="6915" width="13.7109375" style="565" customWidth="1"/>
    <col min="6916" max="6916" width="13.28515625" style="565" customWidth="1"/>
    <col min="6917" max="6917" width="12.42578125" style="565" customWidth="1"/>
    <col min="6918" max="6918" width="13" style="565" customWidth="1"/>
    <col min="6919" max="6919" width="0" style="565" hidden="1" customWidth="1"/>
    <col min="6920" max="6921" width="8.85546875" style="565" customWidth="1"/>
    <col min="6922" max="6923" width="8.7109375" style="565" customWidth="1"/>
    <col min="6924" max="6933" width="9.140625" style="565"/>
    <col min="6934" max="6936" width="0" style="565" hidden="1" customWidth="1"/>
    <col min="6937" max="7168" width="9.140625" style="565"/>
    <col min="7169" max="7169" width="12.85546875" style="565" customWidth="1"/>
    <col min="7170" max="7170" width="50.85546875" style="565" customWidth="1"/>
    <col min="7171" max="7171" width="13.7109375" style="565" customWidth="1"/>
    <col min="7172" max="7172" width="13.28515625" style="565" customWidth="1"/>
    <col min="7173" max="7173" width="12.42578125" style="565" customWidth="1"/>
    <col min="7174" max="7174" width="13" style="565" customWidth="1"/>
    <col min="7175" max="7175" width="0" style="565" hidden="1" customWidth="1"/>
    <col min="7176" max="7177" width="8.85546875" style="565" customWidth="1"/>
    <col min="7178" max="7179" width="8.7109375" style="565" customWidth="1"/>
    <col min="7180" max="7189" width="9.140625" style="565"/>
    <col min="7190" max="7192" width="0" style="565" hidden="1" customWidth="1"/>
    <col min="7193" max="7424" width="9.140625" style="565"/>
    <col min="7425" max="7425" width="12.85546875" style="565" customWidth="1"/>
    <col min="7426" max="7426" width="50.85546875" style="565" customWidth="1"/>
    <col min="7427" max="7427" width="13.7109375" style="565" customWidth="1"/>
    <col min="7428" max="7428" width="13.28515625" style="565" customWidth="1"/>
    <col min="7429" max="7429" width="12.42578125" style="565" customWidth="1"/>
    <col min="7430" max="7430" width="13" style="565" customWidth="1"/>
    <col min="7431" max="7431" width="0" style="565" hidden="1" customWidth="1"/>
    <col min="7432" max="7433" width="8.85546875" style="565" customWidth="1"/>
    <col min="7434" max="7435" width="8.7109375" style="565" customWidth="1"/>
    <col min="7436" max="7445" width="9.140625" style="565"/>
    <col min="7446" max="7448" width="0" style="565" hidden="1" customWidth="1"/>
    <col min="7449" max="7680" width="9.140625" style="565"/>
    <col min="7681" max="7681" width="12.85546875" style="565" customWidth="1"/>
    <col min="7682" max="7682" width="50.85546875" style="565" customWidth="1"/>
    <col min="7683" max="7683" width="13.7109375" style="565" customWidth="1"/>
    <col min="7684" max="7684" width="13.28515625" style="565" customWidth="1"/>
    <col min="7685" max="7685" width="12.42578125" style="565" customWidth="1"/>
    <col min="7686" max="7686" width="13" style="565" customWidth="1"/>
    <col min="7687" max="7687" width="0" style="565" hidden="1" customWidth="1"/>
    <col min="7688" max="7689" width="8.85546875" style="565" customWidth="1"/>
    <col min="7690" max="7691" width="8.7109375" style="565" customWidth="1"/>
    <col min="7692" max="7701" width="9.140625" style="565"/>
    <col min="7702" max="7704" width="0" style="565" hidden="1" customWidth="1"/>
    <col min="7705" max="7936" width="9.140625" style="565"/>
    <col min="7937" max="7937" width="12.85546875" style="565" customWidth="1"/>
    <col min="7938" max="7938" width="50.85546875" style="565" customWidth="1"/>
    <col min="7939" max="7939" width="13.7109375" style="565" customWidth="1"/>
    <col min="7940" max="7940" width="13.28515625" style="565" customWidth="1"/>
    <col min="7941" max="7941" width="12.42578125" style="565" customWidth="1"/>
    <col min="7942" max="7942" width="13" style="565" customWidth="1"/>
    <col min="7943" max="7943" width="0" style="565" hidden="1" customWidth="1"/>
    <col min="7944" max="7945" width="8.85546875" style="565" customWidth="1"/>
    <col min="7946" max="7947" width="8.7109375" style="565" customWidth="1"/>
    <col min="7948" max="7957" width="9.140625" style="565"/>
    <col min="7958" max="7960" width="0" style="565" hidden="1" customWidth="1"/>
    <col min="7961" max="8192" width="9.140625" style="565"/>
    <col min="8193" max="8193" width="12.85546875" style="565" customWidth="1"/>
    <col min="8194" max="8194" width="50.85546875" style="565" customWidth="1"/>
    <col min="8195" max="8195" width="13.7109375" style="565" customWidth="1"/>
    <col min="8196" max="8196" width="13.28515625" style="565" customWidth="1"/>
    <col min="8197" max="8197" width="12.42578125" style="565" customWidth="1"/>
    <col min="8198" max="8198" width="13" style="565" customWidth="1"/>
    <col min="8199" max="8199" width="0" style="565" hidden="1" customWidth="1"/>
    <col min="8200" max="8201" width="8.85546875" style="565" customWidth="1"/>
    <col min="8202" max="8203" width="8.7109375" style="565" customWidth="1"/>
    <col min="8204" max="8213" width="9.140625" style="565"/>
    <col min="8214" max="8216" width="0" style="565" hidden="1" customWidth="1"/>
    <col min="8217" max="8448" width="9.140625" style="565"/>
    <col min="8449" max="8449" width="12.85546875" style="565" customWidth="1"/>
    <col min="8450" max="8450" width="50.85546875" style="565" customWidth="1"/>
    <col min="8451" max="8451" width="13.7109375" style="565" customWidth="1"/>
    <col min="8452" max="8452" width="13.28515625" style="565" customWidth="1"/>
    <col min="8453" max="8453" width="12.42578125" style="565" customWidth="1"/>
    <col min="8454" max="8454" width="13" style="565" customWidth="1"/>
    <col min="8455" max="8455" width="0" style="565" hidden="1" customWidth="1"/>
    <col min="8456" max="8457" width="8.85546875" style="565" customWidth="1"/>
    <col min="8458" max="8459" width="8.7109375" style="565" customWidth="1"/>
    <col min="8460" max="8469" width="9.140625" style="565"/>
    <col min="8470" max="8472" width="0" style="565" hidden="1" customWidth="1"/>
    <col min="8473" max="8704" width="9.140625" style="565"/>
    <col min="8705" max="8705" width="12.85546875" style="565" customWidth="1"/>
    <col min="8706" max="8706" width="50.85546875" style="565" customWidth="1"/>
    <col min="8707" max="8707" width="13.7109375" style="565" customWidth="1"/>
    <col min="8708" max="8708" width="13.28515625" style="565" customWidth="1"/>
    <col min="8709" max="8709" width="12.42578125" style="565" customWidth="1"/>
    <col min="8710" max="8710" width="13" style="565" customWidth="1"/>
    <col min="8711" max="8711" width="0" style="565" hidden="1" customWidth="1"/>
    <col min="8712" max="8713" width="8.85546875" style="565" customWidth="1"/>
    <col min="8714" max="8715" width="8.7109375" style="565" customWidth="1"/>
    <col min="8716" max="8725" width="9.140625" style="565"/>
    <col min="8726" max="8728" width="0" style="565" hidden="1" customWidth="1"/>
    <col min="8729" max="8960" width="9.140625" style="565"/>
    <col min="8961" max="8961" width="12.85546875" style="565" customWidth="1"/>
    <col min="8962" max="8962" width="50.85546875" style="565" customWidth="1"/>
    <col min="8963" max="8963" width="13.7109375" style="565" customWidth="1"/>
    <col min="8964" max="8964" width="13.28515625" style="565" customWidth="1"/>
    <col min="8965" max="8965" width="12.42578125" style="565" customWidth="1"/>
    <col min="8966" max="8966" width="13" style="565" customWidth="1"/>
    <col min="8967" max="8967" width="0" style="565" hidden="1" customWidth="1"/>
    <col min="8968" max="8969" width="8.85546875" style="565" customWidth="1"/>
    <col min="8970" max="8971" width="8.7109375" style="565" customWidth="1"/>
    <col min="8972" max="8981" width="9.140625" style="565"/>
    <col min="8982" max="8984" width="0" style="565" hidden="1" customWidth="1"/>
    <col min="8985" max="9216" width="9.140625" style="565"/>
    <col min="9217" max="9217" width="12.85546875" style="565" customWidth="1"/>
    <col min="9218" max="9218" width="50.85546875" style="565" customWidth="1"/>
    <col min="9219" max="9219" width="13.7109375" style="565" customWidth="1"/>
    <col min="9220" max="9220" width="13.28515625" style="565" customWidth="1"/>
    <col min="9221" max="9221" width="12.42578125" style="565" customWidth="1"/>
    <col min="9222" max="9222" width="13" style="565" customWidth="1"/>
    <col min="9223" max="9223" width="0" style="565" hidden="1" customWidth="1"/>
    <col min="9224" max="9225" width="8.85546875" style="565" customWidth="1"/>
    <col min="9226" max="9227" width="8.7109375" style="565" customWidth="1"/>
    <col min="9228" max="9237" width="9.140625" style="565"/>
    <col min="9238" max="9240" width="0" style="565" hidden="1" customWidth="1"/>
    <col min="9241" max="9472" width="9.140625" style="565"/>
    <col min="9473" max="9473" width="12.85546875" style="565" customWidth="1"/>
    <col min="9474" max="9474" width="50.85546875" style="565" customWidth="1"/>
    <col min="9475" max="9475" width="13.7109375" style="565" customWidth="1"/>
    <col min="9476" max="9476" width="13.28515625" style="565" customWidth="1"/>
    <col min="9477" max="9477" width="12.42578125" style="565" customWidth="1"/>
    <col min="9478" max="9478" width="13" style="565" customWidth="1"/>
    <col min="9479" max="9479" width="0" style="565" hidden="1" customWidth="1"/>
    <col min="9480" max="9481" width="8.85546875" style="565" customWidth="1"/>
    <col min="9482" max="9483" width="8.7109375" style="565" customWidth="1"/>
    <col min="9484" max="9493" width="9.140625" style="565"/>
    <col min="9494" max="9496" width="0" style="565" hidden="1" customWidth="1"/>
    <col min="9497" max="9728" width="9.140625" style="565"/>
    <col min="9729" max="9729" width="12.85546875" style="565" customWidth="1"/>
    <col min="9730" max="9730" width="50.85546875" style="565" customWidth="1"/>
    <col min="9731" max="9731" width="13.7109375" style="565" customWidth="1"/>
    <col min="9732" max="9732" width="13.28515625" style="565" customWidth="1"/>
    <col min="9733" max="9733" width="12.42578125" style="565" customWidth="1"/>
    <col min="9734" max="9734" width="13" style="565" customWidth="1"/>
    <col min="9735" max="9735" width="0" style="565" hidden="1" customWidth="1"/>
    <col min="9736" max="9737" width="8.85546875" style="565" customWidth="1"/>
    <col min="9738" max="9739" width="8.7109375" style="565" customWidth="1"/>
    <col min="9740" max="9749" width="9.140625" style="565"/>
    <col min="9750" max="9752" width="0" style="565" hidden="1" customWidth="1"/>
    <col min="9753" max="9984" width="9.140625" style="565"/>
    <col min="9985" max="9985" width="12.85546875" style="565" customWidth="1"/>
    <col min="9986" max="9986" width="50.85546875" style="565" customWidth="1"/>
    <col min="9987" max="9987" width="13.7109375" style="565" customWidth="1"/>
    <col min="9988" max="9988" width="13.28515625" style="565" customWidth="1"/>
    <col min="9989" max="9989" width="12.42578125" style="565" customWidth="1"/>
    <col min="9990" max="9990" width="13" style="565" customWidth="1"/>
    <col min="9991" max="9991" width="0" style="565" hidden="1" customWidth="1"/>
    <col min="9992" max="9993" width="8.85546875" style="565" customWidth="1"/>
    <col min="9994" max="9995" width="8.7109375" style="565" customWidth="1"/>
    <col min="9996" max="10005" width="9.140625" style="565"/>
    <col min="10006" max="10008" width="0" style="565" hidden="1" customWidth="1"/>
    <col min="10009" max="10240" width="9.140625" style="565"/>
    <col min="10241" max="10241" width="12.85546875" style="565" customWidth="1"/>
    <col min="10242" max="10242" width="50.85546875" style="565" customWidth="1"/>
    <col min="10243" max="10243" width="13.7109375" style="565" customWidth="1"/>
    <col min="10244" max="10244" width="13.28515625" style="565" customWidth="1"/>
    <col min="10245" max="10245" width="12.42578125" style="565" customWidth="1"/>
    <col min="10246" max="10246" width="13" style="565" customWidth="1"/>
    <col min="10247" max="10247" width="0" style="565" hidden="1" customWidth="1"/>
    <col min="10248" max="10249" width="8.85546875" style="565" customWidth="1"/>
    <col min="10250" max="10251" width="8.7109375" style="565" customWidth="1"/>
    <col min="10252" max="10261" width="9.140625" style="565"/>
    <col min="10262" max="10264" width="0" style="565" hidden="1" customWidth="1"/>
    <col min="10265" max="10496" width="9.140625" style="565"/>
    <col min="10497" max="10497" width="12.85546875" style="565" customWidth="1"/>
    <col min="10498" max="10498" width="50.85546875" style="565" customWidth="1"/>
    <col min="10499" max="10499" width="13.7109375" style="565" customWidth="1"/>
    <col min="10500" max="10500" width="13.28515625" style="565" customWidth="1"/>
    <col min="10501" max="10501" width="12.42578125" style="565" customWidth="1"/>
    <col min="10502" max="10502" width="13" style="565" customWidth="1"/>
    <col min="10503" max="10503" width="0" style="565" hidden="1" customWidth="1"/>
    <col min="10504" max="10505" width="8.85546875" style="565" customWidth="1"/>
    <col min="10506" max="10507" width="8.7109375" style="565" customWidth="1"/>
    <col min="10508" max="10517" width="9.140625" style="565"/>
    <col min="10518" max="10520" width="0" style="565" hidden="1" customWidth="1"/>
    <col min="10521" max="10752" width="9.140625" style="565"/>
    <col min="10753" max="10753" width="12.85546875" style="565" customWidth="1"/>
    <col min="10754" max="10754" width="50.85546875" style="565" customWidth="1"/>
    <col min="10755" max="10755" width="13.7109375" style="565" customWidth="1"/>
    <col min="10756" max="10756" width="13.28515625" style="565" customWidth="1"/>
    <col min="10757" max="10757" width="12.42578125" style="565" customWidth="1"/>
    <col min="10758" max="10758" width="13" style="565" customWidth="1"/>
    <col min="10759" max="10759" width="0" style="565" hidden="1" customWidth="1"/>
    <col min="10760" max="10761" width="8.85546875" style="565" customWidth="1"/>
    <col min="10762" max="10763" width="8.7109375" style="565" customWidth="1"/>
    <col min="10764" max="10773" width="9.140625" style="565"/>
    <col min="10774" max="10776" width="0" style="565" hidden="1" customWidth="1"/>
    <col min="10777" max="11008" width="9.140625" style="565"/>
    <col min="11009" max="11009" width="12.85546875" style="565" customWidth="1"/>
    <col min="11010" max="11010" width="50.85546875" style="565" customWidth="1"/>
    <col min="11011" max="11011" width="13.7109375" style="565" customWidth="1"/>
    <col min="11012" max="11012" width="13.28515625" style="565" customWidth="1"/>
    <col min="11013" max="11013" width="12.42578125" style="565" customWidth="1"/>
    <col min="11014" max="11014" width="13" style="565" customWidth="1"/>
    <col min="11015" max="11015" width="0" style="565" hidden="1" customWidth="1"/>
    <col min="11016" max="11017" width="8.85546875" style="565" customWidth="1"/>
    <col min="11018" max="11019" width="8.7109375" style="565" customWidth="1"/>
    <col min="11020" max="11029" width="9.140625" style="565"/>
    <col min="11030" max="11032" width="0" style="565" hidden="1" customWidth="1"/>
    <col min="11033" max="11264" width="9.140625" style="565"/>
    <col min="11265" max="11265" width="12.85546875" style="565" customWidth="1"/>
    <col min="11266" max="11266" width="50.85546875" style="565" customWidth="1"/>
    <col min="11267" max="11267" width="13.7109375" style="565" customWidth="1"/>
    <col min="11268" max="11268" width="13.28515625" style="565" customWidth="1"/>
    <col min="11269" max="11269" width="12.42578125" style="565" customWidth="1"/>
    <col min="11270" max="11270" width="13" style="565" customWidth="1"/>
    <col min="11271" max="11271" width="0" style="565" hidden="1" customWidth="1"/>
    <col min="11272" max="11273" width="8.85546875" style="565" customWidth="1"/>
    <col min="11274" max="11275" width="8.7109375" style="565" customWidth="1"/>
    <col min="11276" max="11285" width="9.140625" style="565"/>
    <col min="11286" max="11288" width="0" style="565" hidden="1" customWidth="1"/>
    <col min="11289" max="11520" width="9.140625" style="565"/>
    <col min="11521" max="11521" width="12.85546875" style="565" customWidth="1"/>
    <col min="11522" max="11522" width="50.85546875" style="565" customWidth="1"/>
    <col min="11523" max="11523" width="13.7109375" style="565" customWidth="1"/>
    <col min="11524" max="11524" width="13.28515625" style="565" customWidth="1"/>
    <col min="11525" max="11525" width="12.42578125" style="565" customWidth="1"/>
    <col min="11526" max="11526" width="13" style="565" customWidth="1"/>
    <col min="11527" max="11527" width="0" style="565" hidden="1" customWidth="1"/>
    <col min="11528" max="11529" width="8.85546875" style="565" customWidth="1"/>
    <col min="11530" max="11531" width="8.7109375" style="565" customWidth="1"/>
    <col min="11532" max="11541" width="9.140625" style="565"/>
    <col min="11542" max="11544" width="0" style="565" hidden="1" customWidth="1"/>
    <col min="11545" max="11776" width="9.140625" style="565"/>
    <col min="11777" max="11777" width="12.85546875" style="565" customWidth="1"/>
    <col min="11778" max="11778" width="50.85546875" style="565" customWidth="1"/>
    <col min="11779" max="11779" width="13.7109375" style="565" customWidth="1"/>
    <col min="11780" max="11780" width="13.28515625" style="565" customWidth="1"/>
    <col min="11781" max="11781" width="12.42578125" style="565" customWidth="1"/>
    <col min="11782" max="11782" width="13" style="565" customWidth="1"/>
    <col min="11783" max="11783" width="0" style="565" hidden="1" customWidth="1"/>
    <col min="11784" max="11785" width="8.85546875" style="565" customWidth="1"/>
    <col min="11786" max="11787" width="8.7109375" style="565" customWidth="1"/>
    <col min="11788" max="11797" width="9.140625" style="565"/>
    <col min="11798" max="11800" width="0" style="565" hidden="1" customWidth="1"/>
    <col min="11801" max="12032" width="9.140625" style="565"/>
    <col min="12033" max="12033" width="12.85546875" style="565" customWidth="1"/>
    <col min="12034" max="12034" width="50.85546875" style="565" customWidth="1"/>
    <col min="12035" max="12035" width="13.7109375" style="565" customWidth="1"/>
    <col min="12036" max="12036" width="13.28515625" style="565" customWidth="1"/>
    <col min="12037" max="12037" width="12.42578125" style="565" customWidth="1"/>
    <col min="12038" max="12038" width="13" style="565" customWidth="1"/>
    <col min="12039" max="12039" width="0" style="565" hidden="1" customWidth="1"/>
    <col min="12040" max="12041" width="8.85546875" style="565" customWidth="1"/>
    <col min="12042" max="12043" width="8.7109375" style="565" customWidth="1"/>
    <col min="12044" max="12053" width="9.140625" style="565"/>
    <col min="12054" max="12056" width="0" style="565" hidden="1" customWidth="1"/>
    <col min="12057" max="12288" width="9.140625" style="565"/>
    <col min="12289" max="12289" width="12.85546875" style="565" customWidth="1"/>
    <col min="12290" max="12290" width="50.85546875" style="565" customWidth="1"/>
    <col min="12291" max="12291" width="13.7109375" style="565" customWidth="1"/>
    <col min="12292" max="12292" width="13.28515625" style="565" customWidth="1"/>
    <col min="12293" max="12293" width="12.42578125" style="565" customWidth="1"/>
    <col min="12294" max="12294" width="13" style="565" customWidth="1"/>
    <col min="12295" max="12295" width="0" style="565" hidden="1" customWidth="1"/>
    <col min="12296" max="12297" width="8.85546875" style="565" customWidth="1"/>
    <col min="12298" max="12299" width="8.7109375" style="565" customWidth="1"/>
    <col min="12300" max="12309" width="9.140625" style="565"/>
    <col min="12310" max="12312" width="0" style="565" hidden="1" customWidth="1"/>
    <col min="12313" max="12544" width="9.140625" style="565"/>
    <col min="12545" max="12545" width="12.85546875" style="565" customWidth="1"/>
    <col min="12546" max="12546" width="50.85546875" style="565" customWidth="1"/>
    <col min="12547" max="12547" width="13.7109375" style="565" customWidth="1"/>
    <col min="12548" max="12548" width="13.28515625" style="565" customWidth="1"/>
    <col min="12549" max="12549" width="12.42578125" style="565" customWidth="1"/>
    <col min="12550" max="12550" width="13" style="565" customWidth="1"/>
    <col min="12551" max="12551" width="0" style="565" hidden="1" customWidth="1"/>
    <col min="12552" max="12553" width="8.85546875" style="565" customWidth="1"/>
    <col min="12554" max="12555" width="8.7109375" style="565" customWidth="1"/>
    <col min="12556" max="12565" width="9.140625" style="565"/>
    <col min="12566" max="12568" width="0" style="565" hidden="1" customWidth="1"/>
    <col min="12569" max="12800" width="9.140625" style="565"/>
    <col min="12801" max="12801" width="12.85546875" style="565" customWidth="1"/>
    <col min="12802" max="12802" width="50.85546875" style="565" customWidth="1"/>
    <col min="12803" max="12803" width="13.7109375" style="565" customWidth="1"/>
    <col min="12804" max="12804" width="13.28515625" style="565" customWidth="1"/>
    <col min="12805" max="12805" width="12.42578125" style="565" customWidth="1"/>
    <col min="12806" max="12806" width="13" style="565" customWidth="1"/>
    <col min="12807" max="12807" width="0" style="565" hidden="1" customWidth="1"/>
    <col min="12808" max="12809" width="8.85546875" style="565" customWidth="1"/>
    <col min="12810" max="12811" width="8.7109375" style="565" customWidth="1"/>
    <col min="12812" max="12821" width="9.140625" style="565"/>
    <col min="12822" max="12824" width="0" style="565" hidden="1" customWidth="1"/>
    <col min="12825" max="13056" width="9.140625" style="565"/>
    <col min="13057" max="13057" width="12.85546875" style="565" customWidth="1"/>
    <col min="13058" max="13058" width="50.85546875" style="565" customWidth="1"/>
    <col min="13059" max="13059" width="13.7109375" style="565" customWidth="1"/>
    <col min="13060" max="13060" width="13.28515625" style="565" customWidth="1"/>
    <col min="13061" max="13061" width="12.42578125" style="565" customWidth="1"/>
    <col min="13062" max="13062" width="13" style="565" customWidth="1"/>
    <col min="13063" max="13063" width="0" style="565" hidden="1" customWidth="1"/>
    <col min="13064" max="13065" width="8.85546875" style="565" customWidth="1"/>
    <col min="13066" max="13067" width="8.7109375" style="565" customWidth="1"/>
    <col min="13068" max="13077" width="9.140625" style="565"/>
    <col min="13078" max="13080" width="0" style="565" hidden="1" customWidth="1"/>
    <col min="13081" max="13312" width="9.140625" style="565"/>
    <col min="13313" max="13313" width="12.85546875" style="565" customWidth="1"/>
    <col min="13314" max="13314" width="50.85546875" style="565" customWidth="1"/>
    <col min="13315" max="13315" width="13.7109375" style="565" customWidth="1"/>
    <col min="13316" max="13316" width="13.28515625" style="565" customWidth="1"/>
    <col min="13317" max="13317" width="12.42578125" style="565" customWidth="1"/>
    <col min="13318" max="13318" width="13" style="565" customWidth="1"/>
    <col min="13319" max="13319" width="0" style="565" hidden="1" customWidth="1"/>
    <col min="13320" max="13321" width="8.85546875" style="565" customWidth="1"/>
    <col min="13322" max="13323" width="8.7109375" style="565" customWidth="1"/>
    <col min="13324" max="13333" width="9.140625" style="565"/>
    <col min="13334" max="13336" width="0" style="565" hidden="1" customWidth="1"/>
    <col min="13337" max="13568" width="9.140625" style="565"/>
    <col min="13569" max="13569" width="12.85546875" style="565" customWidth="1"/>
    <col min="13570" max="13570" width="50.85546875" style="565" customWidth="1"/>
    <col min="13571" max="13571" width="13.7109375" style="565" customWidth="1"/>
    <col min="13572" max="13572" width="13.28515625" style="565" customWidth="1"/>
    <col min="13573" max="13573" width="12.42578125" style="565" customWidth="1"/>
    <col min="13574" max="13574" width="13" style="565" customWidth="1"/>
    <col min="13575" max="13575" width="0" style="565" hidden="1" customWidth="1"/>
    <col min="13576" max="13577" width="8.85546875" style="565" customWidth="1"/>
    <col min="13578" max="13579" width="8.7109375" style="565" customWidth="1"/>
    <col min="13580" max="13589" width="9.140625" style="565"/>
    <col min="13590" max="13592" width="0" style="565" hidden="1" customWidth="1"/>
    <col min="13593" max="13824" width="9.140625" style="565"/>
    <col min="13825" max="13825" width="12.85546875" style="565" customWidth="1"/>
    <col min="13826" max="13826" width="50.85546875" style="565" customWidth="1"/>
    <col min="13827" max="13827" width="13.7109375" style="565" customWidth="1"/>
    <col min="13828" max="13828" width="13.28515625" style="565" customWidth="1"/>
    <col min="13829" max="13829" width="12.42578125" style="565" customWidth="1"/>
    <col min="13830" max="13830" width="13" style="565" customWidth="1"/>
    <col min="13831" max="13831" width="0" style="565" hidden="1" customWidth="1"/>
    <col min="13832" max="13833" width="8.85546875" style="565" customWidth="1"/>
    <col min="13834" max="13835" width="8.7109375" style="565" customWidth="1"/>
    <col min="13836" max="13845" width="9.140625" style="565"/>
    <col min="13846" max="13848" width="0" style="565" hidden="1" customWidth="1"/>
    <col min="13849" max="14080" width="9.140625" style="565"/>
    <col min="14081" max="14081" width="12.85546875" style="565" customWidth="1"/>
    <col min="14082" max="14082" width="50.85546875" style="565" customWidth="1"/>
    <col min="14083" max="14083" width="13.7109375" style="565" customWidth="1"/>
    <col min="14084" max="14084" width="13.28515625" style="565" customWidth="1"/>
    <col min="14085" max="14085" width="12.42578125" style="565" customWidth="1"/>
    <col min="14086" max="14086" width="13" style="565" customWidth="1"/>
    <col min="14087" max="14087" width="0" style="565" hidden="1" customWidth="1"/>
    <col min="14088" max="14089" width="8.85546875" style="565" customWidth="1"/>
    <col min="14090" max="14091" width="8.7109375" style="565" customWidth="1"/>
    <col min="14092" max="14101" width="9.140625" style="565"/>
    <col min="14102" max="14104" width="0" style="565" hidden="1" customWidth="1"/>
    <col min="14105" max="14336" width="9.140625" style="565"/>
    <col min="14337" max="14337" width="12.85546875" style="565" customWidth="1"/>
    <col min="14338" max="14338" width="50.85546875" style="565" customWidth="1"/>
    <col min="14339" max="14339" width="13.7109375" style="565" customWidth="1"/>
    <col min="14340" max="14340" width="13.28515625" style="565" customWidth="1"/>
    <col min="14341" max="14341" width="12.42578125" style="565" customWidth="1"/>
    <col min="14342" max="14342" width="13" style="565" customWidth="1"/>
    <col min="14343" max="14343" width="0" style="565" hidden="1" customWidth="1"/>
    <col min="14344" max="14345" width="8.85546875" style="565" customWidth="1"/>
    <col min="14346" max="14347" width="8.7109375" style="565" customWidth="1"/>
    <col min="14348" max="14357" width="9.140625" style="565"/>
    <col min="14358" max="14360" width="0" style="565" hidden="1" customWidth="1"/>
    <col min="14361" max="14592" width="9.140625" style="565"/>
    <col min="14593" max="14593" width="12.85546875" style="565" customWidth="1"/>
    <col min="14594" max="14594" width="50.85546875" style="565" customWidth="1"/>
    <col min="14595" max="14595" width="13.7109375" style="565" customWidth="1"/>
    <col min="14596" max="14596" width="13.28515625" style="565" customWidth="1"/>
    <col min="14597" max="14597" width="12.42578125" style="565" customWidth="1"/>
    <col min="14598" max="14598" width="13" style="565" customWidth="1"/>
    <col min="14599" max="14599" width="0" style="565" hidden="1" customWidth="1"/>
    <col min="14600" max="14601" width="8.85546875" style="565" customWidth="1"/>
    <col min="14602" max="14603" width="8.7109375" style="565" customWidth="1"/>
    <col min="14604" max="14613" width="9.140625" style="565"/>
    <col min="14614" max="14616" width="0" style="565" hidden="1" customWidth="1"/>
    <col min="14617" max="14848" width="9.140625" style="565"/>
    <col min="14849" max="14849" width="12.85546875" style="565" customWidth="1"/>
    <col min="14850" max="14850" width="50.85546875" style="565" customWidth="1"/>
    <col min="14851" max="14851" width="13.7109375" style="565" customWidth="1"/>
    <col min="14852" max="14852" width="13.28515625" style="565" customWidth="1"/>
    <col min="14853" max="14853" width="12.42578125" style="565" customWidth="1"/>
    <col min="14854" max="14854" width="13" style="565" customWidth="1"/>
    <col min="14855" max="14855" width="0" style="565" hidden="1" customWidth="1"/>
    <col min="14856" max="14857" width="8.85546875" style="565" customWidth="1"/>
    <col min="14858" max="14859" width="8.7109375" style="565" customWidth="1"/>
    <col min="14860" max="14869" width="9.140625" style="565"/>
    <col min="14870" max="14872" width="0" style="565" hidden="1" customWidth="1"/>
    <col min="14873" max="15104" width="9.140625" style="565"/>
    <col min="15105" max="15105" width="12.85546875" style="565" customWidth="1"/>
    <col min="15106" max="15106" width="50.85546875" style="565" customWidth="1"/>
    <col min="15107" max="15107" width="13.7109375" style="565" customWidth="1"/>
    <col min="15108" max="15108" width="13.28515625" style="565" customWidth="1"/>
    <col min="15109" max="15109" width="12.42578125" style="565" customWidth="1"/>
    <col min="15110" max="15110" width="13" style="565" customWidth="1"/>
    <col min="15111" max="15111" width="0" style="565" hidden="1" customWidth="1"/>
    <col min="15112" max="15113" width="8.85546875" style="565" customWidth="1"/>
    <col min="15114" max="15115" width="8.7109375" style="565" customWidth="1"/>
    <col min="15116" max="15125" width="9.140625" style="565"/>
    <col min="15126" max="15128" width="0" style="565" hidden="1" customWidth="1"/>
    <col min="15129" max="15360" width="9.140625" style="565"/>
    <col min="15361" max="15361" width="12.85546875" style="565" customWidth="1"/>
    <col min="15362" max="15362" width="50.85546875" style="565" customWidth="1"/>
    <col min="15363" max="15363" width="13.7109375" style="565" customWidth="1"/>
    <col min="15364" max="15364" width="13.28515625" style="565" customWidth="1"/>
    <col min="15365" max="15365" width="12.42578125" style="565" customWidth="1"/>
    <col min="15366" max="15366" width="13" style="565" customWidth="1"/>
    <col min="15367" max="15367" width="0" style="565" hidden="1" customWidth="1"/>
    <col min="15368" max="15369" width="8.85546875" style="565" customWidth="1"/>
    <col min="15370" max="15371" width="8.7109375" style="565" customWidth="1"/>
    <col min="15372" max="15381" width="9.140625" style="565"/>
    <col min="15382" max="15384" width="0" style="565" hidden="1" customWidth="1"/>
    <col min="15385" max="15616" width="9.140625" style="565"/>
    <col min="15617" max="15617" width="12.85546875" style="565" customWidth="1"/>
    <col min="15618" max="15618" width="50.85546875" style="565" customWidth="1"/>
    <col min="15619" max="15619" width="13.7109375" style="565" customWidth="1"/>
    <col min="15620" max="15620" width="13.28515625" style="565" customWidth="1"/>
    <col min="15621" max="15621" width="12.42578125" style="565" customWidth="1"/>
    <col min="15622" max="15622" width="13" style="565" customWidth="1"/>
    <col min="15623" max="15623" width="0" style="565" hidden="1" customWidth="1"/>
    <col min="15624" max="15625" width="8.85546875" style="565" customWidth="1"/>
    <col min="15626" max="15627" width="8.7109375" style="565" customWidth="1"/>
    <col min="15628" max="15637" width="9.140625" style="565"/>
    <col min="15638" max="15640" width="0" style="565" hidden="1" customWidth="1"/>
    <col min="15641" max="15872" width="9.140625" style="565"/>
    <col min="15873" max="15873" width="12.85546875" style="565" customWidth="1"/>
    <col min="15874" max="15874" width="50.85546875" style="565" customWidth="1"/>
    <col min="15875" max="15875" width="13.7109375" style="565" customWidth="1"/>
    <col min="15876" max="15876" width="13.28515625" style="565" customWidth="1"/>
    <col min="15877" max="15877" width="12.42578125" style="565" customWidth="1"/>
    <col min="15878" max="15878" width="13" style="565" customWidth="1"/>
    <col min="15879" max="15879" width="0" style="565" hidden="1" customWidth="1"/>
    <col min="15880" max="15881" width="8.85546875" style="565" customWidth="1"/>
    <col min="15882" max="15883" width="8.7109375" style="565" customWidth="1"/>
    <col min="15884" max="15893" width="9.140625" style="565"/>
    <col min="15894" max="15896" width="0" style="565" hidden="1" customWidth="1"/>
    <col min="15897" max="16128" width="9.140625" style="565"/>
    <col min="16129" max="16129" width="12.85546875" style="565" customWidth="1"/>
    <col min="16130" max="16130" width="50.85546875" style="565" customWidth="1"/>
    <col min="16131" max="16131" width="13.7109375" style="565" customWidth="1"/>
    <col min="16132" max="16132" width="13.28515625" style="565" customWidth="1"/>
    <col min="16133" max="16133" width="12.42578125" style="565" customWidth="1"/>
    <col min="16134" max="16134" width="13" style="565" customWidth="1"/>
    <col min="16135" max="16135" width="0" style="565" hidden="1" customWidth="1"/>
    <col min="16136" max="16137" width="8.85546875" style="565" customWidth="1"/>
    <col min="16138" max="16139" width="8.7109375" style="565" customWidth="1"/>
    <col min="16140" max="16149" width="9.140625" style="565"/>
    <col min="16150" max="16152" width="0" style="565" hidden="1" customWidth="1"/>
    <col min="16153" max="16384" width="9.140625" style="565"/>
  </cols>
  <sheetData>
    <row r="1" spans="1:23" ht="18.75" customHeight="1" x14ac:dyDescent="0.25">
      <c r="A1" s="576" t="s">
        <v>512</v>
      </c>
      <c r="B1" s="576"/>
      <c r="C1" s="577" t="s">
        <v>513</v>
      </c>
      <c r="D1" s="577"/>
      <c r="E1" s="577"/>
      <c r="F1" s="577"/>
      <c r="G1" s="430"/>
    </row>
    <row r="2" spans="1:23" s="433" customFormat="1" ht="20.25" customHeight="1" x14ac:dyDescent="0.3">
      <c r="A2" s="576"/>
      <c r="B2" s="576"/>
      <c r="C2" s="578" t="s">
        <v>514</v>
      </c>
      <c r="D2" s="578"/>
      <c r="E2" s="578"/>
      <c r="F2" s="578"/>
      <c r="G2" s="432"/>
    </row>
    <row r="3" spans="1:23" s="436" customFormat="1" ht="15" customHeight="1" x14ac:dyDescent="0.25">
      <c r="A3" s="579"/>
      <c r="B3" s="579"/>
      <c r="C3" s="579"/>
      <c r="D3" s="579"/>
      <c r="E3" s="579"/>
      <c r="F3" s="434" t="s">
        <v>515</v>
      </c>
      <c r="G3" s="435"/>
    </row>
    <row r="4" spans="1:23" s="433" customFormat="1" ht="15.2" customHeight="1" x14ac:dyDescent="0.25">
      <c r="A4" s="580" t="s">
        <v>516</v>
      </c>
      <c r="B4" s="580"/>
      <c r="C4" s="580"/>
      <c r="D4" s="580"/>
      <c r="E4" s="580"/>
      <c r="F4" s="434" t="s">
        <v>517</v>
      </c>
      <c r="G4" s="432"/>
    </row>
    <row r="5" spans="1:23" s="433" customFormat="1" ht="15.2" customHeight="1" x14ac:dyDescent="0.25">
      <c r="A5" s="569" t="s">
        <v>518</v>
      </c>
      <c r="B5" s="569"/>
      <c r="C5" s="569"/>
      <c r="D5" s="569"/>
      <c r="E5" s="569"/>
      <c r="F5" s="434" t="s">
        <v>519</v>
      </c>
      <c r="G5" s="432"/>
    </row>
    <row r="6" spans="1:23" s="433" customFormat="1" ht="15.2" customHeight="1" x14ac:dyDescent="0.25">
      <c r="A6" s="569" t="s">
        <v>520</v>
      </c>
      <c r="B6" s="569"/>
      <c r="C6" s="569"/>
      <c r="D6" s="569"/>
      <c r="E6" s="569"/>
      <c r="F6" s="434" t="s">
        <v>521</v>
      </c>
      <c r="G6" s="432"/>
    </row>
    <row r="7" spans="1:23" s="433" customFormat="1" ht="15.2" customHeight="1" x14ac:dyDescent="0.25">
      <c r="A7" s="569" t="s">
        <v>522</v>
      </c>
      <c r="B7" s="569"/>
      <c r="C7" s="569"/>
      <c r="D7" s="569"/>
      <c r="E7" s="569"/>
      <c r="F7" s="434" t="s">
        <v>523</v>
      </c>
      <c r="G7" s="432"/>
    </row>
    <row r="8" spans="1:23" s="433" customFormat="1" ht="30.75" customHeight="1" x14ac:dyDescent="0.25">
      <c r="A8" s="569" t="s">
        <v>524</v>
      </c>
      <c r="B8" s="569"/>
      <c r="C8" s="569"/>
      <c r="D8" s="569"/>
      <c r="E8" s="569"/>
      <c r="F8" s="437" t="s">
        <v>525</v>
      </c>
      <c r="G8" s="432"/>
    </row>
    <row r="9" spans="1:23" s="433" customFormat="1" x14ac:dyDescent="0.25">
      <c r="A9" s="438"/>
      <c r="B9" s="439"/>
      <c r="C9" s="440"/>
      <c r="D9" s="440"/>
      <c r="E9" s="440"/>
      <c r="F9" s="430"/>
      <c r="G9" s="432"/>
    </row>
    <row r="10" spans="1:23" s="433" customFormat="1" x14ac:dyDescent="0.25">
      <c r="A10" s="441"/>
      <c r="B10" s="442"/>
      <c r="C10" s="443"/>
      <c r="D10" s="443"/>
      <c r="E10" s="443"/>
      <c r="F10" s="435"/>
      <c r="G10" s="435"/>
    </row>
    <row r="11" spans="1:23" x14ac:dyDescent="0.25">
      <c r="A11" s="444"/>
      <c r="B11" s="445"/>
      <c r="C11" s="446"/>
      <c r="D11" s="445"/>
      <c r="E11" s="446"/>
      <c r="F11" s="447" t="s">
        <v>526</v>
      </c>
      <c r="G11" s="448"/>
    </row>
    <row r="12" spans="1:23" ht="38.25" x14ac:dyDescent="0.25">
      <c r="A12" s="449" t="s">
        <v>527</v>
      </c>
      <c r="B12" s="449" t="s">
        <v>528</v>
      </c>
      <c r="C12" s="450" t="s">
        <v>529</v>
      </c>
      <c r="D12" s="450" t="s">
        <v>530</v>
      </c>
      <c r="E12" s="450" t="s">
        <v>531</v>
      </c>
      <c r="F12" s="450" t="s">
        <v>532</v>
      </c>
      <c r="G12" s="451" t="s">
        <v>533</v>
      </c>
      <c r="W12" s="431">
        <v>7972</v>
      </c>
    </row>
    <row r="13" spans="1:23" x14ac:dyDescent="0.25">
      <c r="A13" s="452" t="s">
        <v>534</v>
      </c>
      <c r="B13" s="449" t="s">
        <v>535</v>
      </c>
      <c r="C13" s="453">
        <v>1</v>
      </c>
      <c r="D13" s="453">
        <v>2</v>
      </c>
      <c r="E13" s="453">
        <v>3</v>
      </c>
      <c r="F13" s="453">
        <v>4</v>
      </c>
      <c r="G13" s="454">
        <v>5</v>
      </c>
      <c r="W13" s="431">
        <v>7973</v>
      </c>
    </row>
    <row r="14" spans="1:23" x14ac:dyDescent="0.25">
      <c r="A14" s="455" t="s">
        <v>536</v>
      </c>
      <c r="B14" s="456" t="s">
        <v>537</v>
      </c>
      <c r="C14" s="457">
        <v>241340</v>
      </c>
      <c r="D14" s="457">
        <v>69376</v>
      </c>
      <c r="E14" s="458">
        <v>28.75</v>
      </c>
      <c r="F14" s="457">
        <v>15988</v>
      </c>
      <c r="G14" s="459">
        <v>53388</v>
      </c>
      <c r="H14" s="460"/>
      <c r="W14" s="431">
        <v>7974</v>
      </c>
    </row>
    <row r="15" spans="1:23" x14ac:dyDescent="0.25">
      <c r="A15" s="455" t="s">
        <v>538</v>
      </c>
      <c r="B15" s="461" t="s">
        <v>25</v>
      </c>
      <c r="C15" s="457">
        <v>50000</v>
      </c>
      <c r="D15" s="457">
        <v>21541</v>
      </c>
      <c r="E15" s="458">
        <v>43.08</v>
      </c>
      <c r="F15" s="457">
        <v>43</v>
      </c>
      <c r="G15" s="459">
        <v>21498</v>
      </c>
      <c r="H15" s="460"/>
      <c r="W15" s="431">
        <v>7975</v>
      </c>
    </row>
    <row r="16" spans="1:23" hidden="1" x14ac:dyDescent="0.25">
      <c r="A16" s="462" t="s">
        <v>539</v>
      </c>
      <c r="B16" s="463" t="s">
        <v>540</v>
      </c>
      <c r="C16" s="464">
        <v>0</v>
      </c>
      <c r="D16" s="464">
        <v>0</v>
      </c>
      <c r="E16" s="465">
        <v>0</v>
      </c>
      <c r="F16" s="464">
        <v>0</v>
      </c>
      <c r="G16" s="459">
        <v>0</v>
      </c>
      <c r="H16" s="460"/>
      <c r="W16" s="431">
        <v>7976</v>
      </c>
    </row>
    <row r="17" spans="1:23" s="469" customFormat="1" ht="25.5" hidden="1" x14ac:dyDescent="0.25">
      <c r="A17" s="455" t="s">
        <v>541</v>
      </c>
      <c r="B17" s="466" t="s">
        <v>542</v>
      </c>
      <c r="C17" s="457">
        <v>0</v>
      </c>
      <c r="D17" s="457">
        <v>0</v>
      </c>
      <c r="E17" s="458">
        <v>0</v>
      </c>
      <c r="F17" s="457">
        <v>0</v>
      </c>
      <c r="G17" s="467">
        <v>0</v>
      </c>
      <c r="H17" s="468"/>
      <c r="W17" s="469">
        <v>7977</v>
      </c>
    </row>
    <row r="18" spans="1:23" hidden="1" x14ac:dyDescent="0.25">
      <c r="A18" s="462" t="s">
        <v>543</v>
      </c>
      <c r="B18" s="470" t="s">
        <v>544</v>
      </c>
      <c r="C18" s="464">
        <v>0</v>
      </c>
      <c r="D18" s="464">
        <v>0</v>
      </c>
      <c r="E18" s="465">
        <v>0</v>
      </c>
      <c r="F18" s="464">
        <v>0</v>
      </c>
      <c r="G18" s="459">
        <v>0</v>
      </c>
      <c r="H18" s="460"/>
      <c r="W18" s="431">
        <v>7978</v>
      </c>
    </row>
    <row r="19" spans="1:23" hidden="1" x14ac:dyDescent="0.25">
      <c r="A19" s="462" t="s">
        <v>27</v>
      </c>
      <c r="B19" s="471" t="s">
        <v>29</v>
      </c>
      <c r="C19" s="464">
        <v>0</v>
      </c>
      <c r="D19" s="464">
        <v>0</v>
      </c>
      <c r="E19" s="465">
        <v>0</v>
      </c>
      <c r="F19" s="464">
        <v>0</v>
      </c>
      <c r="G19" s="459">
        <v>0</v>
      </c>
      <c r="H19" s="460"/>
      <c r="W19" s="431">
        <v>7979</v>
      </c>
    </row>
    <row r="20" spans="1:23" ht="38.25" hidden="1" x14ac:dyDescent="0.25">
      <c r="A20" s="462" t="s">
        <v>545</v>
      </c>
      <c r="B20" s="472" t="s">
        <v>546</v>
      </c>
      <c r="C20" s="464">
        <v>0</v>
      </c>
      <c r="D20" s="464">
        <v>0</v>
      </c>
      <c r="E20" s="465">
        <v>0</v>
      </c>
      <c r="F20" s="464">
        <v>0</v>
      </c>
      <c r="G20" s="459">
        <v>0</v>
      </c>
      <c r="H20" s="460"/>
      <c r="W20" s="431">
        <v>7980</v>
      </c>
    </row>
    <row r="21" spans="1:23" ht="25.5" hidden="1" x14ac:dyDescent="0.25">
      <c r="A21" s="462" t="s">
        <v>547</v>
      </c>
      <c r="B21" s="472" t="s">
        <v>548</v>
      </c>
      <c r="C21" s="464">
        <v>0</v>
      </c>
      <c r="D21" s="464">
        <v>0</v>
      </c>
      <c r="E21" s="465">
        <v>0</v>
      </c>
      <c r="F21" s="464">
        <v>0</v>
      </c>
      <c r="G21" s="459">
        <v>0</v>
      </c>
      <c r="H21" s="460"/>
      <c r="W21" s="431">
        <v>7981</v>
      </c>
    </row>
    <row r="22" spans="1:23" ht="25.5" hidden="1" x14ac:dyDescent="0.25">
      <c r="A22" s="462" t="s">
        <v>549</v>
      </c>
      <c r="B22" s="472" t="s">
        <v>550</v>
      </c>
      <c r="C22" s="464">
        <v>0</v>
      </c>
      <c r="D22" s="464">
        <v>0</v>
      </c>
      <c r="E22" s="465">
        <v>0</v>
      </c>
      <c r="F22" s="464">
        <v>0</v>
      </c>
      <c r="G22" s="459">
        <v>0</v>
      </c>
      <c r="H22" s="460"/>
      <c r="W22" s="431">
        <v>7983</v>
      </c>
    </row>
    <row r="23" spans="1:23" hidden="1" x14ac:dyDescent="0.25">
      <c r="A23" s="462" t="s">
        <v>551</v>
      </c>
      <c r="B23" s="470" t="s">
        <v>552</v>
      </c>
      <c r="C23" s="464">
        <v>0</v>
      </c>
      <c r="D23" s="464">
        <v>0</v>
      </c>
      <c r="E23" s="465">
        <v>0</v>
      </c>
      <c r="F23" s="464">
        <v>0</v>
      </c>
      <c r="G23" s="459">
        <v>0</v>
      </c>
      <c r="H23" s="460"/>
    </row>
    <row r="24" spans="1:23" s="469" customFormat="1" hidden="1" x14ac:dyDescent="0.25">
      <c r="A24" s="455" t="s">
        <v>553</v>
      </c>
      <c r="B24" s="466" t="s">
        <v>554</v>
      </c>
      <c r="C24" s="457">
        <v>0</v>
      </c>
      <c r="D24" s="457">
        <v>0</v>
      </c>
      <c r="E24" s="458">
        <v>0</v>
      </c>
      <c r="F24" s="457">
        <v>0</v>
      </c>
      <c r="G24" s="467">
        <v>0</v>
      </c>
      <c r="H24" s="468"/>
      <c r="W24" s="469">
        <v>7984</v>
      </c>
    </row>
    <row r="25" spans="1:23" hidden="1" x14ac:dyDescent="0.25">
      <c r="A25" s="462" t="s">
        <v>555</v>
      </c>
      <c r="B25" s="470" t="s">
        <v>554</v>
      </c>
      <c r="C25" s="464">
        <v>0</v>
      </c>
      <c r="D25" s="464">
        <v>0</v>
      </c>
      <c r="E25" s="465">
        <v>0</v>
      </c>
      <c r="F25" s="464">
        <v>0</v>
      </c>
      <c r="G25" s="459">
        <v>0</v>
      </c>
      <c r="H25" s="460"/>
      <c r="W25" s="431">
        <v>7985</v>
      </c>
    </row>
    <row r="26" spans="1:23" hidden="1" x14ac:dyDescent="0.25">
      <c r="A26" s="462" t="s">
        <v>556</v>
      </c>
      <c r="B26" s="471" t="s">
        <v>557</v>
      </c>
      <c r="C26" s="464">
        <v>0</v>
      </c>
      <c r="D26" s="464">
        <v>0</v>
      </c>
      <c r="E26" s="465">
        <v>0</v>
      </c>
      <c r="F26" s="464">
        <v>0</v>
      </c>
      <c r="G26" s="459">
        <v>0</v>
      </c>
      <c r="H26" s="460"/>
      <c r="W26" s="431">
        <v>7986</v>
      </c>
    </row>
    <row r="27" spans="1:23" s="469" customFormat="1" hidden="1" x14ac:dyDescent="0.25">
      <c r="A27" s="455" t="s">
        <v>558</v>
      </c>
      <c r="B27" s="473" t="s">
        <v>559</v>
      </c>
      <c r="C27" s="457">
        <v>0</v>
      </c>
      <c r="D27" s="457">
        <v>0</v>
      </c>
      <c r="E27" s="458">
        <v>0</v>
      </c>
      <c r="F27" s="457">
        <v>0</v>
      </c>
      <c r="G27" s="467">
        <v>0</v>
      </c>
      <c r="H27" s="468"/>
      <c r="W27" s="469">
        <v>7988</v>
      </c>
    </row>
    <row r="28" spans="1:23" s="469" customFormat="1" hidden="1" x14ac:dyDescent="0.25">
      <c r="A28" s="462" t="s">
        <v>560</v>
      </c>
      <c r="B28" s="474" t="s">
        <v>559</v>
      </c>
      <c r="C28" s="464">
        <v>0</v>
      </c>
      <c r="D28" s="464">
        <v>0</v>
      </c>
      <c r="E28" s="465">
        <v>0</v>
      </c>
      <c r="F28" s="464">
        <v>0</v>
      </c>
      <c r="G28" s="467">
        <v>0</v>
      </c>
      <c r="H28" s="468"/>
      <c r="W28" s="469">
        <v>7989</v>
      </c>
    </row>
    <row r="29" spans="1:23" hidden="1" x14ac:dyDescent="0.25">
      <c r="A29" s="462" t="s">
        <v>561</v>
      </c>
      <c r="B29" s="470" t="s">
        <v>562</v>
      </c>
      <c r="C29" s="464">
        <v>0</v>
      </c>
      <c r="D29" s="464">
        <v>0</v>
      </c>
      <c r="E29" s="465">
        <v>0</v>
      </c>
      <c r="F29" s="464">
        <v>0</v>
      </c>
      <c r="G29" s="459">
        <v>0</v>
      </c>
      <c r="H29" s="460"/>
      <c r="W29" s="431">
        <v>7990</v>
      </c>
    </row>
    <row r="30" spans="1:23" ht="25.5" hidden="1" x14ac:dyDescent="0.25">
      <c r="A30" s="462" t="s">
        <v>563</v>
      </c>
      <c r="B30" s="471" t="s">
        <v>564</v>
      </c>
      <c r="C30" s="464">
        <v>0</v>
      </c>
      <c r="D30" s="464">
        <v>0</v>
      </c>
      <c r="E30" s="465">
        <v>0</v>
      </c>
      <c r="F30" s="464">
        <v>0</v>
      </c>
      <c r="G30" s="459">
        <v>0</v>
      </c>
      <c r="H30" s="460"/>
      <c r="W30" s="431">
        <v>7991</v>
      </c>
    </row>
    <row r="31" spans="1:23" ht="38.25" hidden="1" x14ac:dyDescent="0.25">
      <c r="A31" s="462" t="s">
        <v>565</v>
      </c>
      <c r="B31" s="471" t="s">
        <v>566</v>
      </c>
      <c r="C31" s="464">
        <v>0</v>
      </c>
      <c r="D31" s="464">
        <v>0</v>
      </c>
      <c r="E31" s="465">
        <v>0</v>
      </c>
      <c r="F31" s="464">
        <v>0</v>
      </c>
      <c r="G31" s="459">
        <v>0</v>
      </c>
      <c r="H31" s="460"/>
      <c r="W31" s="431">
        <v>7992</v>
      </c>
    </row>
    <row r="32" spans="1:23" ht="25.5" hidden="1" x14ac:dyDescent="0.25">
      <c r="A32" s="462" t="s">
        <v>567</v>
      </c>
      <c r="B32" s="471" t="s">
        <v>568</v>
      </c>
      <c r="C32" s="464">
        <v>0</v>
      </c>
      <c r="D32" s="464">
        <v>0</v>
      </c>
      <c r="E32" s="465">
        <v>0</v>
      </c>
      <c r="F32" s="464">
        <v>0</v>
      </c>
      <c r="G32" s="459">
        <v>0</v>
      </c>
      <c r="H32" s="460"/>
      <c r="W32" s="431">
        <v>7993</v>
      </c>
    </row>
    <row r="33" spans="1:23" ht="38.25" hidden="1" x14ac:dyDescent="0.25">
      <c r="A33" s="462" t="s">
        <v>569</v>
      </c>
      <c r="B33" s="471" t="s">
        <v>570</v>
      </c>
      <c r="C33" s="464">
        <v>0</v>
      </c>
      <c r="D33" s="464">
        <v>0</v>
      </c>
      <c r="E33" s="465">
        <v>0</v>
      </c>
      <c r="F33" s="464">
        <v>0</v>
      </c>
      <c r="G33" s="459">
        <v>0</v>
      </c>
      <c r="H33" s="460"/>
      <c r="W33" s="431">
        <v>7994</v>
      </c>
    </row>
    <row r="34" spans="1:23" hidden="1" x14ac:dyDescent="0.25">
      <c r="A34" s="462" t="s">
        <v>571</v>
      </c>
      <c r="B34" s="470" t="s">
        <v>572</v>
      </c>
      <c r="C34" s="464">
        <v>0</v>
      </c>
      <c r="D34" s="464">
        <v>0</v>
      </c>
      <c r="E34" s="465">
        <v>0</v>
      </c>
      <c r="F34" s="464">
        <v>0</v>
      </c>
      <c r="G34" s="459">
        <v>0</v>
      </c>
      <c r="H34" s="460"/>
      <c r="W34" s="431">
        <v>7995</v>
      </c>
    </row>
    <row r="35" spans="1:23" ht="25.5" hidden="1" x14ac:dyDescent="0.25">
      <c r="A35" s="462" t="s">
        <v>573</v>
      </c>
      <c r="B35" s="470" t="s">
        <v>574</v>
      </c>
      <c r="C35" s="464">
        <v>0</v>
      </c>
      <c r="D35" s="464">
        <v>0</v>
      </c>
      <c r="E35" s="465">
        <v>0</v>
      </c>
      <c r="F35" s="464">
        <v>0</v>
      </c>
      <c r="G35" s="459">
        <v>0</v>
      </c>
      <c r="H35" s="460"/>
      <c r="W35" s="431">
        <v>7997</v>
      </c>
    </row>
    <row r="36" spans="1:23" ht="25.5" hidden="1" x14ac:dyDescent="0.25">
      <c r="A36" s="462" t="s">
        <v>575</v>
      </c>
      <c r="B36" s="471" t="s">
        <v>576</v>
      </c>
      <c r="C36" s="464">
        <v>0</v>
      </c>
      <c r="D36" s="464">
        <v>0</v>
      </c>
      <c r="E36" s="465">
        <v>0</v>
      </c>
      <c r="F36" s="464">
        <v>0</v>
      </c>
      <c r="G36" s="459">
        <v>0</v>
      </c>
      <c r="H36" s="460"/>
      <c r="W36" s="431">
        <v>7998</v>
      </c>
    </row>
    <row r="37" spans="1:23" ht="25.5" hidden="1" x14ac:dyDescent="0.25">
      <c r="A37" s="462" t="s">
        <v>577</v>
      </c>
      <c r="B37" s="471" t="s">
        <v>578</v>
      </c>
      <c r="C37" s="464">
        <v>0</v>
      </c>
      <c r="D37" s="464">
        <v>0</v>
      </c>
      <c r="E37" s="465">
        <v>0</v>
      </c>
      <c r="F37" s="464">
        <v>0</v>
      </c>
      <c r="G37" s="459">
        <v>0</v>
      </c>
      <c r="H37" s="460"/>
      <c r="W37" s="431">
        <v>7999</v>
      </c>
    </row>
    <row r="38" spans="1:23" ht="38.25" hidden="1" x14ac:dyDescent="0.25">
      <c r="A38" s="462" t="s">
        <v>579</v>
      </c>
      <c r="B38" s="471" t="s">
        <v>580</v>
      </c>
      <c r="C38" s="464">
        <v>0</v>
      </c>
      <c r="D38" s="464">
        <v>0</v>
      </c>
      <c r="E38" s="465">
        <v>0</v>
      </c>
      <c r="F38" s="464">
        <v>0</v>
      </c>
      <c r="G38" s="459">
        <v>0</v>
      </c>
      <c r="H38" s="460"/>
      <c r="W38" s="431">
        <v>8000</v>
      </c>
    </row>
    <row r="39" spans="1:23" ht="38.25" hidden="1" x14ac:dyDescent="0.25">
      <c r="A39" s="462" t="s">
        <v>581</v>
      </c>
      <c r="B39" s="471" t="s">
        <v>582</v>
      </c>
      <c r="C39" s="464">
        <v>0</v>
      </c>
      <c r="D39" s="464">
        <v>0</v>
      </c>
      <c r="E39" s="465">
        <v>0</v>
      </c>
      <c r="F39" s="464">
        <v>0</v>
      </c>
      <c r="G39" s="459">
        <v>0</v>
      </c>
      <c r="H39" s="460"/>
      <c r="W39" s="431">
        <v>8001</v>
      </c>
    </row>
    <row r="40" spans="1:23" hidden="1" x14ac:dyDescent="0.25">
      <c r="A40" s="462" t="s">
        <v>583</v>
      </c>
      <c r="B40" s="474" t="s">
        <v>584</v>
      </c>
      <c r="C40" s="464">
        <v>0</v>
      </c>
      <c r="D40" s="464">
        <v>0</v>
      </c>
      <c r="E40" s="465">
        <v>0</v>
      </c>
      <c r="F40" s="464">
        <v>0</v>
      </c>
      <c r="G40" s="459">
        <v>0</v>
      </c>
      <c r="H40" s="460"/>
      <c r="W40" s="431">
        <v>8002</v>
      </c>
    </row>
    <row r="41" spans="1:23" ht="25.5" hidden="1" x14ac:dyDescent="0.25">
      <c r="A41" s="462" t="s">
        <v>585</v>
      </c>
      <c r="B41" s="470" t="s">
        <v>586</v>
      </c>
      <c r="C41" s="464">
        <v>0</v>
      </c>
      <c r="D41" s="464">
        <v>0</v>
      </c>
      <c r="E41" s="465">
        <v>0</v>
      </c>
      <c r="F41" s="464">
        <v>0</v>
      </c>
      <c r="G41" s="459">
        <v>0</v>
      </c>
      <c r="H41" s="460"/>
      <c r="W41" s="431">
        <v>8003</v>
      </c>
    </row>
    <row r="42" spans="1:23" hidden="1" x14ac:dyDescent="0.25">
      <c r="A42" s="462" t="s">
        <v>587</v>
      </c>
      <c r="B42" s="470" t="s">
        <v>588</v>
      </c>
      <c r="C42" s="464">
        <v>0</v>
      </c>
      <c r="D42" s="464">
        <v>0</v>
      </c>
      <c r="E42" s="465">
        <v>0</v>
      </c>
      <c r="F42" s="464">
        <v>0</v>
      </c>
      <c r="G42" s="459">
        <v>0</v>
      </c>
      <c r="H42" s="460"/>
    </row>
    <row r="43" spans="1:23" hidden="1" x14ac:dyDescent="0.25">
      <c r="A43" s="462" t="s">
        <v>589</v>
      </c>
      <c r="B43" s="470" t="s">
        <v>584</v>
      </c>
      <c r="C43" s="464">
        <v>0</v>
      </c>
      <c r="D43" s="464">
        <v>0</v>
      </c>
      <c r="E43" s="465">
        <v>0</v>
      </c>
      <c r="F43" s="464">
        <v>0</v>
      </c>
      <c r="G43" s="459">
        <v>0</v>
      </c>
      <c r="H43" s="460"/>
      <c r="W43" s="431">
        <v>8004</v>
      </c>
    </row>
    <row r="44" spans="1:23" s="469" customFormat="1" hidden="1" x14ac:dyDescent="0.25">
      <c r="A44" s="455" t="s">
        <v>590</v>
      </c>
      <c r="B44" s="473" t="s">
        <v>591</v>
      </c>
      <c r="C44" s="457">
        <v>0</v>
      </c>
      <c r="D44" s="457">
        <v>0</v>
      </c>
      <c r="E44" s="458">
        <v>0</v>
      </c>
      <c r="F44" s="457">
        <v>0</v>
      </c>
      <c r="G44" s="467">
        <v>0</v>
      </c>
      <c r="H44" s="468"/>
      <c r="W44" s="469">
        <v>8005</v>
      </c>
    </row>
    <row r="45" spans="1:23" hidden="1" x14ac:dyDescent="0.25">
      <c r="A45" s="462" t="s">
        <v>592</v>
      </c>
      <c r="B45" s="474" t="s">
        <v>591</v>
      </c>
      <c r="C45" s="464">
        <v>0</v>
      </c>
      <c r="D45" s="464">
        <v>0</v>
      </c>
      <c r="E45" s="465">
        <v>0</v>
      </c>
      <c r="F45" s="464">
        <v>0</v>
      </c>
      <c r="G45" s="459">
        <v>0</v>
      </c>
      <c r="H45" s="460"/>
      <c r="W45" s="431">
        <v>8006</v>
      </c>
    </row>
    <row r="46" spans="1:23" hidden="1" x14ac:dyDescent="0.25">
      <c r="A46" s="462" t="s">
        <v>593</v>
      </c>
      <c r="B46" s="470" t="s">
        <v>594</v>
      </c>
      <c r="C46" s="464">
        <v>0</v>
      </c>
      <c r="D46" s="464">
        <v>0</v>
      </c>
      <c r="E46" s="465">
        <v>0</v>
      </c>
      <c r="F46" s="464">
        <v>0</v>
      </c>
      <c r="G46" s="459">
        <v>0</v>
      </c>
      <c r="H46" s="460"/>
      <c r="W46" s="431">
        <v>8007</v>
      </c>
    </row>
    <row r="47" spans="1:23" hidden="1" x14ac:dyDescent="0.25">
      <c r="A47" s="462" t="s">
        <v>37</v>
      </c>
      <c r="B47" s="471" t="s">
        <v>39</v>
      </c>
      <c r="C47" s="464">
        <v>0</v>
      </c>
      <c r="D47" s="464">
        <v>0</v>
      </c>
      <c r="E47" s="465">
        <v>0</v>
      </c>
      <c r="F47" s="464">
        <v>0</v>
      </c>
      <c r="G47" s="459">
        <v>0</v>
      </c>
      <c r="H47" s="460"/>
      <c r="W47" s="431">
        <v>8008</v>
      </c>
    </row>
    <row r="48" spans="1:23" ht="25.5" hidden="1" x14ac:dyDescent="0.25">
      <c r="A48" s="462" t="s">
        <v>595</v>
      </c>
      <c r="B48" s="472" t="s">
        <v>596</v>
      </c>
      <c r="C48" s="464">
        <v>0</v>
      </c>
      <c r="D48" s="464">
        <v>0</v>
      </c>
      <c r="E48" s="465">
        <v>0</v>
      </c>
      <c r="F48" s="464">
        <v>0</v>
      </c>
      <c r="G48" s="459">
        <v>0</v>
      </c>
      <c r="H48" s="460"/>
      <c r="W48" s="431">
        <v>8009</v>
      </c>
    </row>
    <row r="49" spans="1:23" ht="25.5" hidden="1" x14ac:dyDescent="0.25">
      <c r="A49" s="462" t="s">
        <v>597</v>
      </c>
      <c r="B49" s="472" t="s">
        <v>598</v>
      </c>
      <c r="C49" s="464">
        <v>0</v>
      </c>
      <c r="D49" s="464">
        <v>0</v>
      </c>
      <c r="E49" s="465">
        <v>0</v>
      </c>
      <c r="F49" s="464">
        <v>0</v>
      </c>
      <c r="G49" s="459">
        <v>0</v>
      </c>
      <c r="H49" s="460"/>
      <c r="W49" s="431">
        <v>8010</v>
      </c>
    </row>
    <row r="50" spans="1:23" hidden="1" x14ac:dyDescent="0.25">
      <c r="A50" s="462" t="s">
        <v>46</v>
      </c>
      <c r="B50" s="471" t="s">
        <v>48</v>
      </c>
      <c r="C50" s="464">
        <v>0</v>
      </c>
      <c r="D50" s="464">
        <v>0</v>
      </c>
      <c r="E50" s="465">
        <v>0</v>
      </c>
      <c r="F50" s="464">
        <v>0</v>
      </c>
      <c r="G50" s="459">
        <v>0</v>
      </c>
      <c r="H50" s="460"/>
      <c r="W50" s="431">
        <v>8011</v>
      </c>
    </row>
    <row r="51" spans="1:23" ht="25.5" hidden="1" x14ac:dyDescent="0.25">
      <c r="A51" s="462" t="s">
        <v>599</v>
      </c>
      <c r="B51" s="472" t="s">
        <v>600</v>
      </c>
      <c r="C51" s="464">
        <v>0</v>
      </c>
      <c r="D51" s="464">
        <v>0</v>
      </c>
      <c r="E51" s="465">
        <v>0</v>
      </c>
      <c r="F51" s="464">
        <v>0</v>
      </c>
      <c r="G51" s="459">
        <v>0</v>
      </c>
      <c r="H51" s="460"/>
      <c r="W51" s="431">
        <v>8012</v>
      </c>
    </row>
    <row r="52" spans="1:23" ht="25.5" hidden="1" x14ac:dyDescent="0.25">
      <c r="A52" s="462" t="s">
        <v>601</v>
      </c>
      <c r="B52" s="472" t="s">
        <v>602</v>
      </c>
      <c r="C52" s="464">
        <v>0</v>
      </c>
      <c r="D52" s="464">
        <v>0</v>
      </c>
      <c r="E52" s="465">
        <v>0</v>
      </c>
      <c r="F52" s="464">
        <v>0</v>
      </c>
      <c r="G52" s="459">
        <v>0</v>
      </c>
      <c r="H52" s="460"/>
      <c r="W52" s="431">
        <v>8013</v>
      </c>
    </row>
    <row r="53" spans="1:23" hidden="1" x14ac:dyDescent="0.25">
      <c r="A53" s="462" t="s">
        <v>54</v>
      </c>
      <c r="B53" s="471" t="s">
        <v>603</v>
      </c>
      <c r="C53" s="464">
        <v>0</v>
      </c>
      <c r="D53" s="464">
        <v>0</v>
      </c>
      <c r="E53" s="465">
        <v>0</v>
      </c>
      <c r="F53" s="464">
        <v>0</v>
      </c>
      <c r="G53" s="459">
        <v>0</v>
      </c>
      <c r="H53" s="460"/>
      <c r="W53" s="431">
        <v>8014</v>
      </c>
    </row>
    <row r="54" spans="1:23" ht="25.5" hidden="1" x14ac:dyDescent="0.25">
      <c r="A54" s="462" t="s">
        <v>604</v>
      </c>
      <c r="B54" s="472" t="s">
        <v>605</v>
      </c>
      <c r="C54" s="464">
        <v>0</v>
      </c>
      <c r="D54" s="464">
        <v>0</v>
      </c>
      <c r="E54" s="465">
        <v>0</v>
      </c>
      <c r="F54" s="464">
        <v>0</v>
      </c>
      <c r="G54" s="459">
        <v>0</v>
      </c>
      <c r="H54" s="460"/>
      <c r="W54" s="431">
        <v>8015</v>
      </c>
    </row>
    <row r="55" spans="1:23" ht="25.5" hidden="1" x14ac:dyDescent="0.25">
      <c r="A55" s="462" t="s">
        <v>606</v>
      </c>
      <c r="B55" s="472" t="s">
        <v>607</v>
      </c>
      <c r="C55" s="464">
        <v>0</v>
      </c>
      <c r="D55" s="464">
        <v>0</v>
      </c>
      <c r="E55" s="465">
        <v>0</v>
      </c>
      <c r="F55" s="464">
        <v>0</v>
      </c>
      <c r="G55" s="459">
        <v>0</v>
      </c>
      <c r="H55" s="460"/>
      <c r="W55" s="431">
        <v>8016</v>
      </c>
    </row>
    <row r="56" spans="1:23" hidden="1" x14ac:dyDescent="0.25">
      <c r="A56" s="462" t="s">
        <v>608</v>
      </c>
      <c r="B56" s="470" t="s">
        <v>609</v>
      </c>
      <c r="C56" s="464">
        <v>0</v>
      </c>
      <c r="D56" s="464">
        <v>0</v>
      </c>
      <c r="E56" s="465">
        <v>0</v>
      </c>
      <c r="F56" s="464">
        <v>0</v>
      </c>
      <c r="G56" s="459">
        <v>0</v>
      </c>
      <c r="H56" s="460"/>
      <c r="W56" s="431">
        <v>8017</v>
      </c>
    </row>
    <row r="57" spans="1:23" hidden="1" x14ac:dyDescent="0.25">
      <c r="A57" s="462" t="s">
        <v>610</v>
      </c>
      <c r="B57" s="470" t="s">
        <v>611</v>
      </c>
      <c r="C57" s="464">
        <v>0</v>
      </c>
      <c r="D57" s="464">
        <v>0</v>
      </c>
      <c r="E57" s="465">
        <v>0</v>
      </c>
      <c r="F57" s="464">
        <v>0</v>
      </c>
      <c r="G57" s="459">
        <v>0</v>
      </c>
      <c r="H57" s="460"/>
      <c r="W57" s="431">
        <v>8018</v>
      </c>
    </row>
    <row r="58" spans="1:23" s="469" customFormat="1" hidden="1" x14ac:dyDescent="0.25">
      <c r="A58" s="455" t="s">
        <v>612</v>
      </c>
      <c r="B58" s="473" t="s">
        <v>613</v>
      </c>
      <c r="C58" s="457">
        <v>0</v>
      </c>
      <c r="D58" s="457">
        <v>0</v>
      </c>
      <c r="E58" s="458">
        <v>0</v>
      </c>
      <c r="F58" s="457">
        <v>0</v>
      </c>
      <c r="G58" s="467">
        <v>0</v>
      </c>
      <c r="H58" s="468"/>
      <c r="W58" s="469">
        <v>8019</v>
      </c>
    </row>
    <row r="59" spans="1:23" hidden="1" x14ac:dyDescent="0.25">
      <c r="A59" s="462" t="s">
        <v>614</v>
      </c>
      <c r="B59" s="474" t="s">
        <v>613</v>
      </c>
      <c r="C59" s="464">
        <v>0</v>
      </c>
      <c r="D59" s="464">
        <v>0</v>
      </c>
      <c r="E59" s="465">
        <v>0</v>
      </c>
      <c r="F59" s="464">
        <v>0</v>
      </c>
      <c r="G59" s="459">
        <v>0</v>
      </c>
      <c r="H59" s="460"/>
      <c r="W59" s="431">
        <v>8020</v>
      </c>
    </row>
    <row r="60" spans="1:23" hidden="1" x14ac:dyDescent="0.25">
      <c r="A60" s="462" t="s">
        <v>615</v>
      </c>
      <c r="B60" s="470" t="s">
        <v>616</v>
      </c>
      <c r="C60" s="464">
        <v>0</v>
      </c>
      <c r="D60" s="464">
        <v>0</v>
      </c>
      <c r="E60" s="465">
        <v>0</v>
      </c>
      <c r="F60" s="464">
        <v>0</v>
      </c>
      <c r="G60" s="459">
        <v>0</v>
      </c>
      <c r="H60" s="460"/>
      <c r="W60" s="431">
        <v>8021</v>
      </c>
    </row>
    <row r="61" spans="1:23" hidden="1" x14ac:dyDescent="0.25">
      <c r="A61" s="462" t="s">
        <v>617</v>
      </c>
      <c r="B61" s="471" t="s">
        <v>618</v>
      </c>
      <c r="C61" s="464">
        <v>0</v>
      </c>
      <c r="D61" s="464">
        <v>0</v>
      </c>
      <c r="E61" s="465">
        <v>0</v>
      </c>
      <c r="F61" s="464">
        <v>0</v>
      </c>
      <c r="G61" s="459">
        <v>0</v>
      </c>
      <c r="H61" s="460"/>
      <c r="W61" s="431">
        <v>8022</v>
      </c>
    </row>
    <row r="62" spans="1:23" hidden="1" x14ac:dyDescent="0.25">
      <c r="A62" s="462" t="s">
        <v>619</v>
      </c>
      <c r="B62" s="471" t="s">
        <v>620</v>
      </c>
      <c r="C62" s="464">
        <v>0</v>
      </c>
      <c r="D62" s="464">
        <v>0</v>
      </c>
      <c r="E62" s="465">
        <v>0</v>
      </c>
      <c r="F62" s="464">
        <v>0</v>
      </c>
      <c r="G62" s="459">
        <v>0</v>
      </c>
      <c r="H62" s="460"/>
      <c r="W62" s="431">
        <v>8023</v>
      </c>
    </row>
    <row r="63" spans="1:23" hidden="1" x14ac:dyDescent="0.25">
      <c r="A63" s="462" t="s">
        <v>621</v>
      </c>
      <c r="B63" s="471" t="s">
        <v>622</v>
      </c>
      <c r="C63" s="464">
        <v>0</v>
      </c>
      <c r="D63" s="464">
        <v>0</v>
      </c>
      <c r="E63" s="465">
        <v>0</v>
      </c>
      <c r="F63" s="464">
        <v>0</v>
      </c>
      <c r="G63" s="459">
        <v>0</v>
      </c>
      <c r="H63" s="460"/>
      <c r="W63" s="431">
        <v>8024</v>
      </c>
    </row>
    <row r="64" spans="1:23" hidden="1" x14ac:dyDescent="0.25">
      <c r="A64" s="462" t="s">
        <v>623</v>
      </c>
      <c r="B64" s="471" t="s">
        <v>624</v>
      </c>
      <c r="C64" s="464">
        <v>0</v>
      </c>
      <c r="D64" s="464">
        <v>0</v>
      </c>
      <c r="E64" s="465">
        <v>0</v>
      </c>
      <c r="F64" s="464">
        <v>0</v>
      </c>
      <c r="G64" s="459">
        <v>0</v>
      </c>
      <c r="H64" s="460"/>
      <c r="W64" s="431">
        <v>8025</v>
      </c>
    </row>
    <row r="65" spans="1:23" hidden="1" x14ac:dyDescent="0.25">
      <c r="A65" s="462" t="s">
        <v>625</v>
      </c>
      <c r="B65" s="470" t="s">
        <v>626</v>
      </c>
      <c r="C65" s="464">
        <v>0</v>
      </c>
      <c r="D65" s="464">
        <v>0</v>
      </c>
      <c r="E65" s="465">
        <v>0</v>
      </c>
      <c r="F65" s="464">
        <v>0</v>
      </c>
      <c r="G65" s="459">
        <v>0</v>
      </c>
      <c r="H65" s="460"/>
      <c r="W65" s="431">
        <v>8026</v>
      </c>
    </row>
    <row r="66" spans="1:23" x14ac:dyDescent="0.25">
      <c r="A66" s="462" t="s">
        <v>627</v>
      </c>
      <c r="B66" s="463" t="s">
        <v>628</v>
      </c>
      <c r="C66" s="464">
        <v>50000</v>
      </c>
      <c r="D66" s="464">
        <v>21541</v>
      </c>
      <c r="E66" s="465">
        <v>43.08</v>
      </c>
      <c r="F66" s="464">
        <v>43</v>
      </c>
      <c r="G66" s="459">
        <v>21498</v>
      </c>
      <c r="H66" s="460"/>
      <c r="W66" s="431">
        <v>8027</v>
      </c>
    </row>
    <row r="67" spans="1:23" s="469" customFormat="1" hidden="1" x14ac:dyDescent="0.25">
      <c r="A67" s="455" t="s">
        <v>629</v>
      </c>
      <c r="B67" s="466" t="s">
        <v>630</v>
      </c>
      <c r="C67" s="457">
        <v>0</v>
      </c>
      <c r="D67" s="457">
        <v>0</v>
      </c>
      <c r="E67" s="458">
        <v>0</v>
      </c>
      <c r="F67" s="457">
        <v>0</v>
      </c>
      <c r="G67" s="467">
        <v>0</v>
      </c>
      <c r="H67" s="468"/>
      <c r="W67" s="469">
        <v>8028</v>
      </c>
    </row>
    <row r="68" spans="1:23" hidden="1" x14ac:dyDescent="0.25">
      <c r="A68" s="462" t="s">
        <v>631</v>
      </c>
      <c r="B68" s="470" t="s">
        <v>630</v>
      </c>
      <c r="C68" s="464">
        <v>0</v>
      </c>
      <c r="D68" s="464">
        <v>0</v>
      </c>
      <c r="E68" s="465">
        <v>0</v>
      </c>
      <c r="F68" s="464">
        <v>0</v>
      </c>
      <c r="G68" s="459">
        <v>0</v>
      </c>
      <c r="H68" s="460"/>
      <c r="W68" s="431">
        <v>8029</v>
      </c>
    </row>
    <row r="69" spans="1:23" hidden="1" x14ac:dyDescent="0.25">
      <c r="A69" s="462" t="s">
        <v>632</v>
      </c>
      <c r="B69" s="471" t="s">
        <v>633</v>
      </c>
      <c r="C69" s="464">
        <v>0</v>
      </c>
      <c r="D69" s="464">
        <v>0</v>
      </c>
      <c r="E69" s="465">
        <v>0</v>
      </c>
      <c r="F69" s="464">
        <v>0</v>
      </c>
      <c r="G69" s="459">
        <v>0</v>
      </c>
      <c r="H69" s="460"/>
      <c r="W69" s="431">
        <v>8030</v>
      </c>
    </row>
    <row r="70" spans="1:23" ht="25.5" hidden="1" x14ac:dyDescent="0.25">
      <c r="A70" s="462" t="s">
        <v>634</v>
      </c>
      <c r="B70" s="471" t="s">
        <v>635</v>
      </c>
      <c r="C70" s="464">
        <v>0</v>
      </c>
      <c r="D70" s="464">
        <v>0</v>
      </c>
      <c r="E70" s="465">
        <v>0</v>
      </c>
      <c r="F70" s="464">
        <v>0</v>
      </c>
      <c r="G70" s="459">
        <v>0</v>
      </c>
      <c r="H70" s="460"/>
      <c r="W70" s="431">
        <v>8032</v>
      </c>
    </row>
    <row r="71" spans="1:23" ht="25.5" hidden="1" x14ac:dyDescent="0.25">
      <c r="A71" s="462" t="s">
        <v>636</v>
      </c>
      <c r="B71" s="471" t="s">
        <v>637</v>
      </c>
      <c r="C71" s="464">
        <v>0</v>
      </c>
      <c r="D71" s="464">
        <v>0</v>
      </c>
      <c r="E71" s="465">
        <v>0</v>
      </c>
      <c r="F71" s="464">
        <v>0</v>
      </c>
      <c r="G71" s="459">
        <v>0</v>
      </c>
      <c r="H71" s="460"/>
      <c r="W71" s="431">
        <v>8033</v>
      </c>
    </row>
    <row r="72" spans="1:23" ht="38.25" hidden="1" x14ac:dyDescent="0.25">
      <c r="A72" s="462" t="s">
        <v>638</v>
      </c>
      <c r="B72" s="471" t="s">
        <v>639</v>
      </c>
      <c r="C72" s="464">
        <v>0</v>
      </c>
      <c r="D72" s="464">
        <v>0</v>
      </c>
      <c r="E72" s="465">
        <v>0</v>
      </c>
      <c r="F72" s="464">
        <v>0</v>
      </c>
      <c r="G72" s="459">
        <v>0</v>
      </c>
      <c r="H72" s="460"/>
      <c r="W72" s="431">
        <v>8034</v>
      </c>
    </row>
    <row r="73" spans="1:23" ht="25.5" hidden="1" x14ac:dyDescent="0.25">
      <c r="A73" s="462" t="s">
        <v>640</v>
      </c>
      <c r="B73" s="471" t="s">
        <v>641</v>
      </c>
      <c r="C73" s="464">
        <v>0</v>
      </c>
      <c r="D73" s="464">
        <v>0</v>
      </c>
      <c r="E73" s="465">
        <v>0</v>
      </c>
      <c r="F73" s="464">
        <v>0</v>
      </c>
      <c r="G73" s="459">
        <v>0</v>
      </c>
      <c r="H73" s="460"/>
      <c r="W73" s="431">
        <v>8035</v>
      </c>
    </row>
    <row r="74" spans="1:23" s="469" customFormat="1" hidden="1" x14ac:dyDescent="0.25">
      <c r="A74" s="455" t="s">
        <v>642</v>
      </c>
      <c r="B74" s="466" t="s">
        <v>643</v>
      </c>
      <c r="C74" s="457">
        <v>0</v>
      </c>
      <c r="D74" s="457">
        <v>0</v>
      </c>
      <c r="E74" s="458">
        <v>0</v>
      </c>
      <c r="F74" s="457">
        <v>0</v>
      </c>
      <c r="G74" s="467">
        <v>0</v>
      </c>
      <c r="H74" s="468"/>
      <c r="W74" s="469">
        <v>8036</v>
      </c>
    </row>
    <row r="75" spans="1:23" ht="25.5" hidden="1" x14ac:dyDescent="0.25">
      <c r="A75" s="462" t="s">
        <v>644</v>
      </c>
      <c r="B75" s="470" t="s">
        <v>645</v>
      </c>
      <c r="C75" s="464">
        <v>0</v>
      </c>
      <c r="D75" s="464">
        <v>0</v>
      </c>
      <c r="E75" s="465">
        <v>0</v>
      </c>
      <c r="F75" s="464">
        <v>0</v>
      </c>
      <c r="G75" s="459">
        <v>0</v>
      </c>
      <c r="H75" s="460"/>
      <c r="W75" s="431">
        <v>8037</v>
      </c>
    </row>
    <row r="76" spans="1:23" hidden="1" x14ac:dyDescent="0.25">
      <c r="A76" s="462" t="s">
        <v>646</v>
      </c>
      <c r="B76" s="471" t="s">
        <v>647</v>
      </c>
      <c r="C76" s="464">
        <v>0</v>
      </c>
      <c r="D76" s="464">
        <v>0</v>
      </c>
      <c r="E76" s="465">
        <v>0</v>
      </c>
      <c r="F76" s="464">
        <v>0</v>
      </c>
      <c r="G76" s="459">
        <v>0</v>
      </c>
      <c r="H76" s="460"/>
      <c r="W76" s="431">
        <v>8038</v>
      </c>
    </row>
    <row r="77" spans="1:23" hidden="1" x14ac:dyDescent="0.25">
      <c r="A77" s="462" t="s">
        <v>648</v>
      </c>
      <c r="B77" s="471" t="s">
        <v>649</v>
      </c>
      <c r="C77" s="464">
        <v>0</v>
      </c>
      <c r="D77" s="464">
        <v>0</v>
      </c>
      <c r="E77" s="465">
        <v>0</v>
      </c>
      <c r="F77" s="464">
        <v>0</v>
      </c>
      <c r="G77" s="459">
        <v>0</v>
      </c>
      <c r="H77" s="460"/>
      <c r="W77" s="431">
        <v>8044</v>
      </c>
    </row>
    <row r="78" spans="1:23" hidden="1" x14ac:dyDescent="0.25">
      <c r="A78" s="462" t="s">
        <v>650</v>
      </c>
      <c r="B78" s="471" t="s">
        <v>651</v>
      </c>
      <c r="C78" s="464">
        <v>0</v>
      </c>
      <c r="D78" s="464">
        <v>0</v>
      </c>
      <c r="E78" s="465">
        <v>0</v>
      </c>
      <c r="F78" s="464">
        <v>0</v>
      </c>
      <c r="G78" s="459">
        <v>0</v>
      </c>
      <c r="H78" s="460"/>
      <c r="W78" s="431">
        <v>8045</v>
      </c>
    </row>
    <row r="79" spans="1:23" hidden="1" x14ac:dyDescent="0.25">
      <c r="A79" s="462" t="s">
        <v>652</v>
      </c>
      <c r="B79" s="471" t="s">
        <v>653</v>
      </c>
      <c r="C79" s="464">
        <v>0</v>
      </c>
      <c r="D79" s="464">
        <v>0</v>
      </c>
      <c r="E79" s="465">
        <v>0</v>
      </c>
      <c r="F79" s="464">
        <v>0</v>
      </c>
      <c r="G79" s="459">
        <v>0</v>
      </c>
      <c r="H79" s="460"/>
      <c r="W79" s="431">
        <v>8046</v>
      </c>
    </row>
    <row r="80" spans="1:23" ht="25.5" hidden="1" x14ac:dyDescent="0.25">
      <c r="A80" s="462" t="s">
        <v>654</v>
      </c>
      <c r="B80" s="471" t="s">
        <v>655</v>
      </c>
      <c r="C80" s="464">
        <v>0</v>
      </c>
      <c r="D80" s="464">
        <v>0</v>
      </c>
      <c r="E80" s="465">
        <v>0</v>
      </c>
      <c r="F80" s="464">
        <v>0</v>
      </c>
      <c r="G80" s="459">
        <v>0</v>
      </c>
      <c r="H80" s="460"/>
      <c r="W80" s="431">
        <v>8051</v>
      </c>
    </row>
    <row r="81" spans="1:23" hidden="1" x14ac:dyDescent="0.25">
      <c r="A81" s="462" t="s">
        <v>656</v>
      </c>
      <c r="B81" s="471" t="s">
        <v>657</v>
      </c>
      <c r="C81" s="464">
        <v>0</v>
      </c>
      <c r="D81" s="464">
        <v>0</v>
      </c>
      <c r="E81" s="465">
        <v>0</v>
      </c>
      <c r="F81" s="464">
        <v>0</v>
      </c>
      <c r="G81" s="459">
        <v>0</v>
      </c>
      <c r="H81" s="460"/>
    </row>
    <row r="82" spans="1:23" hidden="1" x14ac:dyDescent="0.25">
      <c r="A82" s="462" t="s">
        <v>658</v>
      </c>
      <c r="B82" s="471" t="s">
        <v>659</v>
      </c>
      <c r="C82" s="464">
        <v>0</v>
      </c>
      <c r="D82" s="464">
        <v>0</v>
      </c>
      <c r="E82" s="465">
        <v>0</v>
      </c>
      <c r="F82" s="464">
        <v>0</v>
      </c>
      <c r="G82" s="459">
        <v>0</v>
      </c>
      <c r="H82" s="460"/>
    </row>
    <row r="83" spans="1:23" ht="25.5" hidden="1" x14ac:dyDescent="0.25">
      <c r="A83" s="462" t="s">
        <v>660</v>
      </c>
      <c r="B83" s="470" t="s">
        <v>661</v>
      </c>
      <c r="C83" s="464">
        <v>0</v>
      </c>
      <c r="D83" s="464">
        <v>0</v>
      </c>
      <c r="E83" s="465">
        <v>0</v>
      </c>
      <c r="F83" s="464">
        <v>0</v>
      </c>
      <c r="G83" s="459">
        <v>0</v>
      </c>
      <c r="H83" s="460"/>
      <c r="W83" s="431">
        <v>8058</v>
      </c>
    </row>
    <row r="84" spans="1:23" hidden="1" x14ac:dyDescent="0.25">
      <c r="A84" s="462" t="s">
        <v>662</v>
      </c>
      <c r="B84" s="471" t="s">
        <v>647</v>
      </c>
      <c r="C84" s="464">
        <v>0</v>
      </c>
      <c r="D84" s="464">
        <v>0</v>
      </c>
      <c r="E84" s="465">
        <v>0</v>
      </c>
      <c r="F84" s="464">
        <v>0</v>
      </c>
      <c r="G84" s="459">
        <v>0</v>
      </c>
      <c r="H84" s="460"/>
      <c r="W84" s="431">
        <v>8059</v>
      </c>
    </row>
    <row r="85" spans="1:23" hidden="1" x14ac:dyDescent="0.25">
      <c r="A85" s="462" t="s">
        <v>663</v>
      </c>
      <c r="B85" s="471" t="s">
        <v>649</v>
      </c>
      <c r="C85" s="464">
        <v>0</v>
      </c>
      <c r="D85" s="464">
        <v>0</v>
      </c>
      <c r="E85" s="465">
        <v>0</v>
      </c>
      <c r="F85" s="464">
        <v>0</v>
      </c>
      <c r="G85" s="459">
        <v>0</v>
      </c>
      <c r="H85" s="460"/>
      <c r="W85" s="431">
        <v>8065</v>
      </c>
    </row>
    <row r="86" spans="1:23" hidden="1" x14ac:dyDescent="0.25">
      <c r="A86" s="462" t="s">
        <v>664</v>
      </c>
      <c r="B86" s="471" t="s">
        <v>651</v>
      </c>
      <c r="C86" s="464">
        <v>0</v>
      </c>
      <c r="D86" s="464">
        <v>0</v>
      </c>
      <c r="E86" s="465">
        <v>0</v>
      </c>
      <c r="F86" s="464">
        <v>0</v>
      </c>
      <c r="G86" s="459">
        <v>0</v>
      </c>
      <c r="H86" s="460"/>
      <c r="W86" s="431">
        <v>8066</v>
      </c>
    </row>
    <row r="87" spans="1:23" hidden="1" x14ac:dyDescent="0.25">
      <c r="A87" s="462" t="s">
        <v>665</v>
      </c>
      <c r="B87" s="471" t="s">
        <v>653</v>
      </c>
      <c r="C87" s="464">
        <v>0</v>
      </c>
      <c r="D87" s="464">
        <v>0</v>
      </c>
      <c r="E87" s="465">
        <v>0</v>
      </c>
      <c r="F87" s="464">
        <v>0</v>
      </c>
      <c r="G87" s="459">
        <v>0</v>
      </c>
      <c r="H87" s="460"/>
      <c r="W87" s="431">
        <v>8067</v>
      </c>
    </row>
    <row r="88" spans="1:23" hidden="1" x14ac:dyDescent="0.25">
      <c r="A88" s="462" t="s">
        <v>666</v>
      </c>
      <c r="B88" s="471" t="s">
        <v>657</v>
      </c>
      <c r="C88" s="464">
        <v>0</v>
      </c>
      <c r="D88" s="464">
        <v>0</v>
      </c>
      <c r="E88" s="465">
        <v>0</v>
      </c>
      <c r="F88" s="464">
        <v>0</v>
      </c>
      <c r="G88" s="459">
        <v>0</v>
      </c>
      <c r="H88" s="460"/>
      <c r="W88" s="431">
        <v>8072</v>
      </c>
    </row>
    <row r="89" spans="1:23" hidden="1" x14ac:dyDescent="0.25">
      <c r="A89" s="462" t="s">
        <v>667</v>
      </c>
      <c r="B89" s="471" t="s">
        <v>659</v>
      </c>
      <c r="C89" s="464">
        <v>0</v>
      </c>
      <c r="D89" s="464">
        <v>0</v>
      </c>
      <c r="E89" s="465">
        <v>0</v>
      </c>
      <c r="F89" s="464">
        <v>0</v>
      </c>
      <c r="G89" s="459">
        <v>0</v>
      </c>
      <c r="H89" s="460"/>
      <c r="W89" s="431">
        <v>8075</v>
      </c>
    </row>
    <row r="90" spans="1:23" s="469" customFormat="1" hidden="1" x14ac:dyDescent="0.25">
      <c r="A90" s="455" t="s">
        <v>668</v>
      </c>
      <c r="B90" s="466" t="s">
        <v>669</v>
      </c>
      <c r="C90" s="457">
        <v>0</v>
      </c>
      <c r="D90" s="457">
        <v>0</v>
      </c>
      <c r="E90" s="458">
        <v>0</v>
      </c>
      <c r="F90" s="457">
        <v>0</v>
      </c>
      <c r="G90" s="467">
        <v>0</v>
      </c>
      <c r="H90" s="468"/>
      <c r="W90" s="469">
        <v>8110</v>
      </c>
    </row>
    <row r="91" spans="1:23" hidden="1" x14ac:dyDescent="0.25">
      <c r="A91" s="462" t="s">
        <v>670</v>
      </c>
      <c r="B91" s="470" t="s">
        <v>669</v>
      </c>
      <c r="C91" s="464">
        <v>0</v>
      </c>
      <c r="D91" s="464">
        <v>0</v>
      </c>
      <c r="E91" s="465">
        <v>0</v>
      </c>
      <c r="F91" s="464">
        <v>0</v>
      </c>
      <c r="G91" s="459">
        <v>0</v>
      </c>
      <c r="H91" s="460"/>
      <c r="W91" s="431">
        <v>8111</v>
      </c>
    </row>
    <row r="92" spans="1:23" hidden="1" x14ac:dyDescent="0.25">
      <c r="A92" s="462" t="s">
        <v>671</v>
      </c>
      <c r="B92" s="471" t="s">
        <v>63</v>
      </c>
      <c r="C92" s="464">
        <v>0</v>
      </c>
      <c r="D92" s="464">
        <v>0</v>
      </c>
      <c r="E92" s="465">
        <v>0</v>
      </c>
      <c r="F92" s="464">
        <v>0</v>
      </c>
      <c r="G92" s="459">
        <v>0</v>
      </c>
      <c r="H92" s="460"/>
      <c r="W92" s="431">
        <v>8112</v>
      </c>
    </row>
    <row r="93" spans="1:23" hidden="1" x14ac:dyDescent="0.25">
      <c r="A93" s="462" t="s">
        <v>672</v>
      </c>
      <c r="B93" s="471" t="s">
        <v>673</v>
      </c>
      <c r="C93" s="464">
        <v>0</v>
      </c>
      <c r="D93" s="464">
        <v>0</v>
      </c>
      <c r="E93" s="465">
        <v>0</v>
      </c>
      <c r="F93" s="464">
        <v>0</v>
      </c>
      <c r="G93" s="459">
        <v>0</v>
      </c>
      <c r="H93" s="460"/>
      <c r="W93" s="431">
        <v>8113</v>
      </c>
    </row>
    <row r="94" spans="1:23" hidden="1" x14ac:dyDescent="0.25">
      <c r="A94" s="462" t="s">
        <v>674</v>
      </c>
      <c r="B94" s="471" t="s">
        <v>675</v>
      </c>
      <c r="C94" s="464">
        <v>0</v>
      </c>
      <c r="D94" s="464">
        <v>0</v>
      </c>
      <c r="E94" s="465">
        <v>0</v>
      </c>
      <c r="F94" s="464">
        <v>0</v>
      </c>
      <c r="G94" s="459">
        <v>0</v>
      </c>
      <c r="H94" s="460"/>
      <c r="W94" s="431">
        <v>8114</v>
      </c>
    </row>
    <row r="95" spans="1:23" hidden="1" x14ac:dyDescent="0.25">
      <c r="A95" s="462" t="s">
        <v>676</v>
      </c>
      <c r="B95" s="472" t="s">
        <v>677</v>
      </c>
      <c r="C95" s="464">
        <v>0</v>
      </c>
      <c r="D95" s="464">
        <v>0</v>
      </c>
      <c r="E95" s="465">
        <v>0</v>
      </c>
      <c r="F95" s="464">
        <v>0</v>
      </c>
      <c r="G95" s="459">
        <v>0</v>
      </c>
      <c r="H95" s="460"/>
      <c r="W95" s="431">
        <v>8115</v>
      </c>
    </row>
    <row r="96" spans="1:23" hidden="1" x14ac:dyDescent="0.25">
      <c r="A96" s="462" t="s">
        <v>678</v>
      </c>
      <c r="B96" s="472" t="s">
        <v>679</v>
      </c>
      <c r="C96" s="464">
        <v>0</v>
      </c>
      <c r="D96" s="464">
        <v>0</v>
      </c>
      <c r="E96" s="465">
        <v>0</v>
      </c>
      <c r="F96" s="464">
        <v>0</v>
      </c>
      <c r="G96" s="459">
        <v>0</v>
      </c>
      <c r="H96" s="460"/>
      <c r="W96" s="431">
        <v>8116</v>
      </c>
    </row>
    <row r="97" spans="1:23" hidden="1" x14ac:dyDescent="0.25">
      <c r="A97" s="462" t="s">
        <v>680</v>
      </c>
      <c r="B97" s="471" t="s">
        <v>681</v>
      </c>
      <c r="C97" s="464">
        <v>0</v>
      </c>
      <c r="D97" s="464">
        <v>0</v>
      </c>
      <c r="E97" s="465">
        <v>0</v>
      </c>
      <c r="F97" s="464">
        <v>0</v>
      </c>
      <c r="G97" s="459">
        <v>0</v>
      </c>
      <c r="H97" s="460"/>
      <c r="W97" s="431">
        <v>8117</v>
      </c>
    </row>
    <row r="98" spans="1:23" hidden="1" x14ac:dyDescent="0.25">
      <c r="A98" s="462" t="s">
        <v>682</v>
      </c>
      <c r="B98" s="471" t="s">
        <v>683</v>
      </c>
      <c r="C98" s="464">
        <v>0</v>
      </c>
      <c r="D98" s="464">
        <v>0</v>
      </c>
      <c r="E98" s="465">
        <v>0</v>
      </c>
      <c r="F98" s="464">
        <v>0</v>
      </c>
      <c r="G98" s="459">
        <v>0</v>
      </c>
      <c r="H98" s="460"/>
      <c r="W98" s="431">
        <v>8118</v>
      </c>
    </row>
    <row r="99" spans="1:23" ht="38.25" hidden="1" x14ac:dyDescent="0.25">
      <c r="A99" s="462" t="s">
        <v>684</v>
      </c>
      <c r="B99" s="472" t="s">
        <v>685</v>
      </c>
      <c r="C99" s="464">
        <v>0</v>
      </c>
      <c r="D99" s="464">
        <v>0</v>
      </c>
      <c r="E99" s="465">
        <v>0</v>
      </c>
      <c r="F99" s="464">
        <v>0</v>
      </c>
      <c r="G99" s="459">
        <v>0</v>
      </c>
      <c r="H99" s="460"/>
      <c r="W99" s="431">
        <v>8119</v>
      </c>
    </row>
    <row r="100" spans="1:23" ht="38.25" hidden="1" x14ac:dyDescent="0.25">
      <c r="A100" s="462" t="s">
        <v>686</v>
      </c>
      <c r="B100" s="472" t="s">
        <v>687</v>
      </c>
      <c r="C100" s="464">
        <v>0</v>
      </c>
      <c r="D100" s="464">
        <v>0</v>
      </c>
      <c r="E100" s="465">
        <v>0</v>
      </c>
      <c r="F100" s="464">
        <v>0</v>
      </c>
      <c r="G100" s="459">
        <v>0</v>
      </c>
      <c r="H100" s="460"/>
      <c r="W100" s="431">
        <v>8120</v>
      </c>
    </row>
    <row r="101" spans="1:23" hidden="1" x14ac:dyDescent="0.25">
      <c r="A101" s="462" t="s">
        <v>688</v>
      </c>
      <c r="B101" s="471" t="s">
        <v>689</v>
      </c>
      <c r="C101" s="464">
        <v>0</v>
      </c>
      <c r="D101" s="464">
        <v>0</v>
      </c>
      <c r="E101" s="465">
        <v>0</v>
      </c>
      <c r="F101" s="464">
        <v>0</v>
      </c>
      <c r="G101" s="459">
        <v>0</v>
      </c>
      <c r="H101" s="460"/>
      <c r="W101" s="431">
        <v>8121</v>
      </c>
    </row>
    <row r="102" spans="1:23" hidden="1" x14ac:dyDescent="0.25">
      <c r="A102" s="462" t="s">
        <v>690</v>
      </c>
      <c r="B102" s="471" t="s">
        <v>691</v>
      </c>
      <c r="C102" s="464">
        <v>0</v>
      </c>
      <c r="D102" s="464">
        <v>0</v>
      </c>
      <c r="E102" s="465">
        <v>0</v>
      </c>
      <c r="F102" s="464">
        <v>0</v>
      </c>
      <c r="G102" s="459">
        <v>0</v>
      </c>
      <c r="H102" s="460"/>
      <c r="W102" s="431">
        <v>8122</v>
      </c>
    </row>
    <row r="103" spans="1:23" s="469" customFormat="1" ht="25.5" x14ac:dyDescent="0.25">
      <c r="A103" s="455" t="s">
        <v>692</v>
      </c>
      <c r="B103" s="466" t="s">
        <v>693</v>
      </c>
      <c r="C103" s="457">
        <v>50000</v>
      </c>
      <c r="D103" s="457">
        <v>21541</v>
      </c>
      <c r="E103" s="458">
        <v>43.08</v>
      </c>
      <c r="F103" s="457">
        <v>43</v>
      </c>
      <c r="G103" s="467">
        <v>21498</v>
      </c>
      <c r="H103" s="468"/>
      <c r="W103" s="469">
        <v>8123</v>
      </c>
    </row>
    <row r="104" spans="1:23" ht="25.5" x14ac:dyDescent="0.25">
      <c r="A104" s="462" t="s">
        <v>694</v>
      </c>
      <c r="B104" s="470" t="s">
        <v>693</v>
      </c>
      <c r="C104" s="464">
        <v>50000</v>
      </c>
      <c r="D104" s="464">
        <v>21541</v>
      </c>
      <c r="E104" s="465">
        <v>43.08</v>
      </c>
      <c r="F104" s="464">
        <v>43</v>
      </c>
      <c r="G104" s="459">
        <v>21498</v>
      </c>
      <c r="H104" s="460"/>
      <c r="W104" s="431">
        <v>8124</v>
      </c>
    </row>
    <row r="105" spans="1:23" x14ac:dyDescent="0.25">
      <c r="A105" s="462" t="s">
        <v>695</v>
      </c>
      <c r="B105" s="471" t="s">
        <v>696</v>
      </c>
      <c r="C105" s="464">
        <v>50000</v>
      </c>
      <c r="D105" s="464">
        <v>21541</v>
      </c>
      <c r="E105" s="465">
        <v>43.08</v>
      </c>
      <c r="F105" s="464">
        <v>43</v>
      </c>
      <c r="G105" s="459">
        <v>21498</v>
      </c>
      <c r="H105" s="460"/>
      <c r="W105" s="431">
        <v>8125</v>
      </c>
    </row>
    <row r="106" spans="1:23" ht="25.5" x14ac:dyDescent="0.25">
      <c r="A106" s="475" t="s">
        <v>697</v>
      </c>
      <c r="B106" s="476" t="s">
        <v>698</v>
      </c>
      <c r="C106" s="477">
        <v>50000</v>
      </c>
      <c r="D106" s="477">
        <v>21541</v>
      </c>
      <c r="E106" s="478">
        <v>43.08</v>
      </c>
      <c r="F106" s="477">
        <v>43</v>
      </c>
      <c r="G106" s="459">
        <v>21498</v>
      </c>
      <c r="H106" s="460"/>
      <c r="W106" s="431">
        <v>8126</v>
      </c>
    </row>
    <row r="107" spans="1:23" hidden="1" x14ac:dyDescent="0.25">
      <c r="A107" s="462" t="s">
        <v>699</v>
      </c>
      <c r="B107" s="472" t="s">
        <v>700</v>
      </c>
      <c r="C107" s="464">
        <v>0</v>
      </c>
      <c r="D107" s="464">
        <v>0</v>
      </c>
      <c r="E107" s="465">
        <v>0</v>
      </c>
      <c r="F107" s="464">
        <v>0</v>
      </c>
      <c r="G107" s="459">
        <v>0</v>
      </c>
      <c r="H107" s="460"/>
      <c r="W107" s="431">
        <v>8127</v>
      </c>
    </row>
    <row r="108" spans="1:23" hidden="1" x14ac:dyDescent="0.25">
      <c r="A108" s="462" t="s">
        <v>701</v>
      </c>
      <c r="B108" s="472" t="s">
        <v>702</v>
      </c>
      <c r="C108" s="464">
        <v>0</v>
      </c>
      <c r="D108" s="464">
        <v>0</v>
      </c>
      <c r="E108" s="465">
        <v>0</v>
      </c>
      <c r="F108" s="464">
        <v>0</v>
      </c>
      <c r="G108" s="459">
        <v>0</v>
      </c>
      <c r="H108" s="460"/>
      <c r="W108" s="431">
        <v>8128</v>
      </c>
    </row>
    <row r="109" spans="1:23" ht="25.5" hidden="1" x14ac:dyDescent="0.25">
      <c r="A109" s="462" t="s">
        <v>703</v>
      </c>
      <c r="B109" s="472" t="s">
        <v>704</v>
      </c>
      <c r="C109" s="464">
        <v>0</v>
      </c>
      <c r="D109" s="464">
        <v>0</v>
      </c>
      <c r="E109" s="465">
        <v>0</v>
      </c>
      <c r="F109" s="464">
        <v>0</v>
      </c>
      <c r="G109" s="459">
        <v>0</v>
      </c>
      <c r="H109" s="460"/>
      <c r="W109" s="431">
        <v>8129</v>
      </c>
    </row>
    <row r="110" spans="1:23" ht="38.25" hidden="1" x14ac:dyDescent="0.25">
      <c r="A110" s="462" t="s">
        <v>705</v>
      </c>
      <c r="B110" s="472" t="s">
        <v>706</v>
      </c>
      <c r="C110" s="464">
        <v>0</v>
      </c>
      <c r="D110" s="464">
        <v>0</v>
      </c>
      <c r="E110" s="465">
        <v>0</v>
      </c>
      <c r="F110" s="464">
        <v>0</v>
      </c>
      <c r="G110" s="459">
        <v>0</v>
      </c>
      <c r="H110" s="460"/>
      <c r="W110" s="431">
        <v>8130</v>
      </c>
    </row>
    <row r="111" spans="1:23" ht="25.5" hidden="1" x14ac:dyDescent="0.25">
      <c r="A111" s="462" t="s">
        <v>707</v>
      </c>
      <c r="B111" s="472" t="s">
        <v>708</v>
      </c>
      <c r="C111" s="464">
        <v>0</v>
      </c>
      <c r="D111" s="464">
        <v>0</v>
      </c>
      <c r="E111" s="465">
        <v>0</v>
      </c>
      <c r="F111" s="464">
        <v>0</v>
      </c>
      <c r="G111" s="459">
        <v>0</v>
      </c>
      <c r="H111" s="460"/>
      <c r="W111" s="431">
        <v>8131</v>
      </c>
    </row>
    <row r="112" spans="1:23" ht="25.5" hidden="1" x14ac:dyDescent="0.25">
      <c r="A112" s="462" t="s">
        <v>709</v>
      </c>
      <c r="B112" s="472" t="s">
        <v>710</v>
      </c>
      <c r="C112" s="464">
        <v>0</v>
      </c>
      <c r="D112" s="464">
        <v>0</v>
      </c>
      <c r="E112" s="465">
        <v>0</v>
      </c>
      <c r="F112" s="464">
        <v>0</v>
      </c>
      <c r="G112" s="459">
        <v>0</v>
      </c>
      <c r="H112" s="460"/>
      <c r="W112" s="431">
        <v>8132</v>
      </c>
    </row>
    <row r="113" spans="1:23" ht="25.5" hidden="1" x14ac:dyDescent="0.25">
      <c r="A113" s="462" t="s">
        <v>711</v>
      </c>
      <c r="B113" s="472" t="s">
        <v>712</v>
      </c>
      <c r="C113" s="464">
        <v>0</v>
      </c>
      <c r="D113" s="464">
        <v>0</v>
      </c>
      <c r="E113" s="465">
        <v>0</v>
      </c>
      <c r="F113" s="464">
        <v>0</v>
      </c>
      <c r="G113" s="459">
        <v>0</v>
      </c>
      <c r="H113" s="460"/>
      <c r="W113" s="431">
        <v>8133</v>
      </c>
    </row>
    <row r="114" spans="1:23" ht="38.25" hidden="1" x14ac:dyDescent="0.25">
      <c r="A114" s="462" t="s">
        <v>713</v>
      </c>
      <c r="B114" s="472" t="s">
        <v>714</v>
      </c>
      <c r="C114" s="464">
        <v>0</v>
      </c>
      <c r="D114" s="464">
        <v>0</v>
      </c>
      <c r="E114" s="465">
        <v>0</v>
      </c>
      <c r="F114" s="464">
        <v>0</v>
      </c>
      <c r="G114" s="459">
        <v>0</v>
      </c>
      <c r="H114" s="460"/>
      <c r="W114" s="431">
        <v>8134</v>
      </c>
    </row>
    <row r="115" spans="1:23" ht="25.5" hidden="1" x14ac:dyDescent="0.25">
      <c r="A115" s="462" t="s">
        <v>715</v>
      </c>
      <c r="B115" s="463" t="s">
        <v>716</v>
      </c>
      <c r="C115" s="464">
        <v>0</v>
      </c>
      <c r="D115" s="464">
        <v>0</v>
      </c>
      <c r="E115" s="465">
        <v>0</v>
      </c>
      <c r="F115" s="464">
        <v>0</v>
      </c>
      <c r="G115" s="459">
        <v>0</v>
      </c>
      <c r="H115" s="460"/>
      <c r="W115" s="431">
        <v>8135</v>
      </c>
    </row>
    <row r="116" spans="1:23" hidden="1" x14ac:dyDescent="0.25">
      <c r="A116" s="462" t="s">
        <v>717</v>
      </c>
      <c r="B116" s="474" t="s">
        <v>718</v>
      </c>
      <c r="C116" s="464">
        <v>0</v>
      </c>
      <c r="D116" s="464">
        <v>0</v>
      </c>
      <c r="E116" s="465">
        <v>0</v>
      </c>
      <c r="F116" s="464">
        <v>0</v>
      </c>
      <c r="G116" s="459">
        <v>0</v>
      </c>
      <c r="H116" s="460"/>
      <c r="W116" s="431">
        <v>8136</v>
      </c>
    </row>
    <row r="117" spans="1:23" hidden="1" x14ac:dyDescent="0.25">
      <c r="A117" s="462" t="s">
        <v>719</v>
      </c>
      <c r="B117" s="474" t="s">
        <v>720</v>
      </c>
      <c r="C117" s="464">
        <v>0</v>
      </c>
      <c r="D117" s="464">
        <v>0</v>
      </c>
      <c r="E117" s="465">
        <v>0</v>
      </c>
      <c r="F117" s="464">
        <v>0</v>
      </c>
      <c r="G117" s="459">
        <v>0</v>
      </c>
      <c r="H117" s="460"/>
      <c r="W117" s="431">
        <v>8137</v>
      </c>
    </row>
    <row r="118" spans="1:23" ht="25.5" hidden="1" x14ac:dyDescent="0.25">
      <c r="A118" s="462" t="s">
        <v>721</v>
      </c>
      <c r="B118" s="470" t="s">
        <v>722</v>
      </c>
      <c r="C118" s="464">
        <v>0</v>
      </c>
      <c r="D118" s="464">
        <v>0</v>
      </c>
      <c r="E118" s="465">
        <v>0</v>
      </c>
      <c r="F118" s="464">
        <v>0</v>
      </c>
      <c r="G118" s="459">
        <v>0</v>
      </c>
      <c r="H118" s="460"/>
      <c r="W118" s="431">
        <v>8138</v>
      </c>
    </row>
    <row r="119" spans="1:23" ht="25.5" hidden="1" x14ac:dyDescent="0.25">
      <c r="A119" s="462" t="s">
        <v>723</v>
      </c>
      <c r="B119" s="470" t="s">
        <v>724</v>
      </c>
      <c r="C119" s="464">
        <v>0</v>
      </c>
      <c r="D119" s="464">
        <v>0</v>
      </c>
      <c r="E119" s="465">
        <v>0</v>
      </c>
      <c r="F119" s="464">
        <v>0</v>
      </c>
      <c r="G119" s="459">
        <v>0</v>
      </c>
      <c r="H119" s="460"/>
      <c r="W119" s="431">
        <v>8139</v>
      </c>
    </row>
    <row r="120" spans="1:23" ht="38.25" hidden="1" x14ac:dyDescent="0.25">
      <c r="A120" s="462" t="s">
        <v>725</v>
      </c>
      <c r="B120" s="470" t="s">
        <v>726</v>
      </c>
      <c r="C120" s="464">
        <v>0</v>
      </c>
      <c r="D120" s="464">
        <v>0</v>
      </c>
      <c r="E120" s="465">
        <v>0</v>
      </c>
      <c r="F120" s="464">
        <v>0</v>
      </c>
      <c r="G120" s="459">
        <v>0</v>
      </c>
      <c r="H120" s="460"/>
      <c r="W120" s="431">
        <v>8140</v>
      </c>
    </row>
    <row r="121" spans="1:23" s="469" customFormat="1" hidden="1" x14ac:dyDescent="0.25">
      <c r="A121" s="455" t="s">
        <v>727</v>
      </c>
      <c r="B121" s="461" t="s">
        <v>728</v>
      </c>
      <c r="C121" s="457">
        <v>0</v>
      </c>
      <c r="D121" s="457">
        <v>0</v>
      </c>
      <c r="E121" s="458">
        <v>0</v>
      </c>
      <c r="F121" s="457">
        <v>0</v>
      </c>
      <c r="G121" s="467">
        <v>0</v>
      </c>
      <c r="H121" s="468"/>
      <c r="W121" s="469">
        <v>8141</v>
      </c>
    </row>
    <row r="122" spans="1:23" hidden="1" x14ac:dyDescent="0.25">
      <c r="A122" s="462" t="s">
        <v>729</v>
      </c>
      <c r="B122" s="463" t="s">
        <v>730</v>
      </c>
      <c r="C122" s="464">
        <v>0</v>
      </c>
      <c r="D122" s="464">
        <v>0</v>
      </c>
      <c r="E122" s="465">
        <v>0</v>
      </c>
      <c r="F122" s="464">
        <v>0</v>
      </c>
      <c r="G122" s="459">
        <v>0</v>
      </c>
      <c r="H122" s="460"/>
      <c r="W122" s="431">
        <v>8142</v>
      </c>
    </row>
    <row r="123" spans="1:23" hidden="1" x14ac:dyDescent="0.25">
      <c r="A123" s="462" t="s">
        <v>731</v>
      </c>
      <c r="B123" s="474" t="s">
        <v>732</v>
      </c>
      <c r="C123" s="464">
        <v>0</v>
      </c>
      <c r="D123" s="464">
        <v>0</v>
      </c>
      <c r="E123" s="465">
        <v>0</v>
      </c>
      <c r="F123" s="464">
        <v>0</v>
      </c>
      <c r="G123" s="459">
        <v>0</v>
      </c>
      <c r="H123" s="460"/>
      <c r="W123" s="431">
        <v>8143</v>
      </c>
    </row>
    <row r="124" spans="1:23" ht="25.5" hidden="1" x14ac:dyDescent="0.25">
      <c r="A124" s="462" t="s">
        <v>733</v>
      </c>
      <c r="B124" s="470" t="s">
        <v>734</v>
      </c>
      <c r="C124" s="464">
        <v>0</v>
      </c>
      <c r="D124" s="464">
        <v>0</v>
      </c>
      <c r="E124" s="465">
        <v>0</v>
      </c>
      <c r="F124" s="464">
        <v>0</v>
      </c>
      <c r="G124" s="459">
        <v>0</v>
      </c>
      <c r="H124" s="460"/>
      <c r="W124" s="431">
        <v>8144</v>
      </c>
    </row>
    <row r="125" spans="1:23" hidden="1" x14ac:dyDescent="0.25">
      <c r="A125" s="462" t="s">
        <v>735</v>
      </c>
      <c r="B125" s="471" t="s">
        <v>736</v>
      </c>
      <c r="C125" s="464">
        <v>0</v>
      </c>
      <c r="D125" s="464">
        <v>0</v>
      </c>
      <c r="E125" s="465">
        <v>0</v>
      </c>
      <c r="F125" s="464">
        <v>0</v>
      </c>
      <c r="G125" s="459">
        <v>0</v>
      </c>
      <c r="H125" s="460"/>
      <c r="W125" s="431">
        <v>8145</v>
      </c>
    </row>
    <row r="126" spans="1:23" hidden="1" x14ac:dyDescent="0.25">
      <c r="A126" s="462" t="s">
        <v>737</v>
      </c>
      <c r="B126" s="471" t="s">
        <v>738</v>
      </c>
      <c r="C126" s="464">
        <v>0</v>
      </c>
      <c r="D126" s="464">
        <v>0</v>
      </c>
      <c r="E126" s="465">
        <v>0</v>
      </c>
      <c r="F126" s="464">
        <v>0</v>
      </c>
      <c r="G126" s="459">
        <v>0</v>
      </c>
      <c r="H126" s="460"/>
      <c r="W126" s="431">
        <v>8146</v>
      </c>
    </row>
    <row r="127" spans="1:23" ht="63.75" hidden="1" x14ac:dyDescent="0.25">
      <c r="A127" s="462" t="s">
        <v>739</v>
      </c>
      <c r="B127" s="470" t="s">
        <v>740</v>
      </c>
      <c r="C127" s="464">
        <v>0</v>
      </c>
      <c r="D127" s="464">
        <v>0</v>
      </c>
      <c r="E127" s="465">
        <v>0</v>
      </c>
      <c r="F127" s="464">
        <v>0</v>
      </c>
      <c r="G127" s="459">
        <v>0</v>
      </c>
      <c r="H127" s="460"/>
      <c r="W127" s="431">
        <v>8147</v>
      </c>
    </row>
    <row r="128" spans="1:23" ht="38.25" hidden="1" x14ac:dyDescent="0.25">
      <c r="A128" s="462" t="s">
        <v>741</v>
      </c>
      <c r="B128" s="471" t="s">
        <v>742</v>
      </c>
      <c r="C128" s="464">
        <v>0</v>
      </c>
      <c r="D128" s="464">
        <v>0</v>
      </c>
      <c r="E128" s="465">
        <v>0</v>
      </c>
      <c r="F128" s="464">
        <v>0</v>
      </c>
      <c r="G128" s="459">
        <v>0</v>
      </c>
      <c r="H128" s="460"/>
      <c r="W128" s="431">
        <v>8148</v>
      </c>
    </row>
    <row r="129" spans="1:23" hidden="1" x14ac:dyDescent="0.25">
      <c r="A129" s="462" t="s">
        <v>743</v>
      </c>
      <c r="B129" s="471" t="s">
        <v>744</v>
      </c>
      <c r="C129" s="464">
        <v>0</v>
      </c>
      <c r="D129" s="464">
        <v>0</v>
      </c>
      <c r="E129" s="465">
        <v>0</v>
      </c>
      <c r="F129" s="464">
        <v>0</v>
      </c>
      <c r="G129" s="459">
        <v>0</v>
      </c>
      <c r="H129" s="460"/>
      <c r="W129" s="431">
        <v>8149</v>
      </c>
    </row>
    <row r="130" spans="1:23" ht="25.5" hidden="1" x14ac:dyDescent="0.25">
      <c r="A130" s="462" t="s">
        <v>745</v>
      </c>
      <c r="B130" s="470" t="s">
        <v>746</v>
      </c>
      <c r="C130" s="464">
        <v>0</v>
      </c>
      <c r="D130" s="464">
        <v>0</v>
      </c>
      <c r="E130" s="465">
        <v>0</v>
      </c>
      <c r="F130" s="464">
        <v>0</v>
      </c>
      <c r="G130" s="459">
        <v>0</v>
      </c>
      <c r="H130" s="460"/>
      <c r="W130" s="431">
        <v>8150</v>
      </c>
    </row>
    <row r="131" spans="1:23" hidden="1" x14ac:dyDescent="0.25">
      <c r="A131" s="462" t="s">
        <v>747</v>
      </c>
      <c r="B131" s="474" t="s">
        <v>748</v>
      </c>
      <c r="C131" s="464">
        <v>0</v>
      </c>
      <c r="D131" s="464">
        <v>0</v>
      </c>
      <c r="E131" s="465">
        <v>0</v>
      </c>
      <c r="F131" s="464">
        <v>0</v>
      </c>
      <c r="G131" s="459">
        <v>0</v>
      </c>
      <c r="H131" s="460"/>
      <c r="W131" s="431">
        <v>8151</v>
      </c>
    </row>
    <row r="132" spans="1:23" ht="25.5" hidden="1" x14ac:dyDescent="0.25">
      <c r="A132" s="462" t="s">
        <v>749</v>
      </c>
      <c r="B132" s="474" t="s">
        <v>750</v>
      </c>
      <c r="C132" s="464">
        <v>0</v>
      </c>
      <c r="D132" s="464">
        <v>0</v>
      </c>
      <c r="E132" s="465">
        <v>0</v>
      </c>
      <c r="F132" s="464">
        <v>0</v>
      </c>
      <c r="G132" s="459">
        <v>0</v>
      </c>
      <c r="H132" s="460"/>
      <c r="W132" s="431">
        <v>8152</v>
      </c>
    </row>
    <row r="133" spans="1:23" hidden="1" x14ac:dyDescent="0.25">
      <c r="A133" s="462" t="s">
        <v>751</v>
      </c>
      <c r="B133" s="470" t="s">
        <v>752</v>
      </c>
      <c r="C133" s="464">
        <v>0</v>
      </c>
      <c r="D133" s="464">
        <v>0</v>
      </c>
      <c r="E133" s="465">
        <v>0</v>
      </c>
      <c r="F133" s="464">
        <v>0</v>
      </c>
      <c r="G133" s="459">
        <v>0</v>
      </c>
      <c r="H133" s="460"/>
      <c r="W133" s="431">
        <v>8153</v>
      </c>
    </row>
    <row r="134" spans="1:23" ht="25.5" hidden="1" x14ac:dyDescent="0.25">
      <c r="A134" s="462" t="s">
        <v>753</v>
      </c>
      <c r="B134" s="470" t="s">
        <v>754</v>
      </c>
      <c r="C134" s="464">
        <v>0</v>
      </c>
      <c r="D134" s="464">
        <v>0</v>
      </c>
      <c r="E134" s="465">
        <v>0</v>
      </c>
      <c r="F134" s="464">
        <v>0</v>
      </c>
      <c r="G134" s="459">
        <v>0</v>
      </c>
      <c r="H134" s="460"/>
      <c r="W134" s="431">
        <v>8154</v>
      </c>
    </row>
    <row r="135" spans="1:23" hidden="1" x14ac:dyDescent="0.25">
      <c r="A135" s="462" t="s">
        <v>755</v>
      </c>
      <c r="B135" s="474" t="s">
        <v>756</v>
      </c>
      <c r="C135" s="464">
        <v>0</v>
      </c>
      <c r="D135" s="464">
        <v>0</v>
      </c>
      <c r="E135" s="465">
        <v>0</v>
      </c>
      <c r="F135" s="464">
        <v>0</v>
      </c>
      <c r="G135" s="459">
        <v>0</v>
      </c>
      <c r="H135" s="460"/>
      <c r="W135" s="431">
        <v>8155</v>
      </c>
    </row>
    <row r="136" spans="1:23" hidden="1" x14ac:dyDescent="0.25">
      <c r="A136" s="462" t="s">
        <v>757</v>
      </c>
      <c r="B136" s="470" t="s">
        <v>758</v>
      </c>
      <c r="C136" s="464">
        <v>0</v>
      </c>
      <c r="D136" s="464">
        <v>0</v>
      </c>
      <c r="E136" s="465">
        <v>0</v>
      </c>
      <c r="F136" s="464">
        <v>0</v>
      </c>
      <c r="G136" s="459">
        <v>0</v>
      </c>
      <c r="H136" s="460"/>
      <c r="W136" s="431">
        <v>8156</v>
      </c>
    </row>
    <row r="137" spans="1:23" ht="38.25" hidden="1" x14ac:dyDescent="0.25">
      <c r="A137" s="462" t="s">
        <v>759</v>
      </c>
      <c r="B137" s="471" t="s">
        <v>760</v>
      </c>
      <c r="C137" s="464">
        <v>0</v>
      </c>
      <c r="D137" s="464">
        <v>0</v>
      </c>
      <c r="E137" s="465">
        <v>0</v>
      </c>
      <c r="F137" s="464">
        <v>0</v>
      </c>
      <c r="G137" s="459">
        <v>0</v>
      </c>
      <c r="H137" s="460"/>
      <c r="W137" s="431">
        <v>8157</v>
      </c>
    </row>
    <row r="138" spans="1:23" ht="25.5" hidden="1" x14ac:dyDescent="0.25">
      <c r="A138" s="462" t="s">
        <v>761</v>
      </c>
      <c r="B138" s="471" t="s">
        <v>762</v>
      </c>
      <c r="C138" s="464">
        <v>0</v>
      </c>
      <c r="D138" s="464">
        <v>0</v>
      </c>
      <c r="E138" s="465">
        <v>0</v>
      </c>
      <c r="F138" s="464">
        <v>0</v>
      </c>
      <c r="G138" s="459">
        <v>0</v>
      </c>
      <c r="H138" s="460"/>
      <c r="W138" s="431">
        <v>8158</v>
      </c>
    </row>
    <row r="139" spans="1:23" ht="25.5" hidden="1" x14ac:dyDescent="0.25">
      <c r="A139" s="462" t="s">
        <v>763</v>
      </c>
      <c r="B139" s="471" t="s">
        <v>764</v>
      </c>
      <c r="C139" s="464">
        <v>0</v>
      </c>
      <c r="D139" s="464">
        <v>0</v>
      </c>
      <c r="E139" s="465">
        <v>0</v>
      </c>
      <c r="F139" s="464">
        <v>0</v>
      </c>
      <c r="G139" s="459">
        <v>0</v>
      </c>
      <c r="H139" s="460"/>
      <c r="W139" s="431">
        <v>8159</v>
      </c>
    </row>
    <row r="140" spans="1:23" ht="25.5" hidden="1" x14ac:dyDescent="0.25">
      <c r="A140" s="462" t="s">
        <v>765</v>
      </c>
      <c r="B140" s="471" t="s">
        <v>766</v>
      </c>
      <c r="C140" s="464">
        <v>0</v>
      </c>
      <c r="D140" s="464">
        <v>0</v>
      </c>
      <c r="E140" s="465">
        <v>0</v>
      </c>
      <c r="F140" s="464">
        <v>0</v>
      </c>
      <c r="G140" s="459">
        <v>0</v>
      </c>
      <c r="H140" s="460"/>
      <c r="W140" s="431">
        <v>8160</v>
      </c>
    </row>
    <row r="141" spans="1:23" hidden="1" x14ac:dyDescent="0.25">
      <c r="A141" s="462" t="s">
        <v>767</v>
      </c>
      <c r="B141" s="470" t="s">
        <v>768</v>
      </c>
      <c r="C141" s="464">
        <v>0</v>
      </c>
      <c r="D141" s="464">
        <v>0</v>
      </c>
      <c r="E141" s="465">
        <v>0</v>
      </c>
      <c r="F141" s="464">
        <v>0</v>
      </c>
      <c r="G141" s="459">
        <v>0</v>
      </c>
      <c r="H141" s="460"/>
      <c r="W141" s="431">
        <v>8161</v>
      </c>
    </row>
    <row r="142" spans="1:23" ht="25.5" hidden="1" x14ac:dyDescent="0.25">
      <c r="A142" s="462" t="s">
        <v>769</v>
      </c>
      <c r="B142" s="471" t="s">
        <v>770</v>
      </c>
      <c r="C142" s="464">
        <v>0</v>
      </c>
      <c r="D142" s="464">
        <v>0</v>
      </c>
      <c r="E142" s="465">
        <v>0</v>
      </c>
      <c r="F142" s="464">
        <v>0</v>
      </c>
      <c r="G142" s="459">
        <v>0</v>
      </c>
      <c r="H142" s="460"/>
      <c r="W142" s="431">
        <v>8162</v>
      </c>
    </row>
    <row r="143" spans="1:23" ht="25.5" hidden="1" x14ac:dyDescent="0.25">
      <c r="A143" s="462" t="s">
        <v>771</v>
      </c>
      <c r="B143" s="471" t="s">
        <v>772</v>
      </c>
      <c r="C143" s="464">
        <v>0</v>
      </c>
      <c r="D143" s="464">
        <v>0</v>
      </c>
      <c r="E143" s="465">
        <v>0</v>
      </c>
      <c r="F143" s="464">
        <v>0</v>
      </c>
      <c r="G143" s="459">
        <v>0</v>
      </c>
      <c r="H143" s="460"/>
      <c r="W143" s="431">
        <v>8163</v>
      </c>
    </row>
    <row r="144" spans="1:23" ht="25.5" hidden="1" x14ac:dyDescent="0.25">
      <c r="A144" s="462" t="s">
        <v>773</v>
      </c>
      <c r="B144" s="474" t="s">
        <v>774</v>
      </c>
      <c r="C144" s="464">
        <v>0</v>
      </c>
      <c r="D144" s="464">
        <v>0</v>
      </c>
      <c r="E144" s="465">
        <v>0</v>
      </c>
      <c r="F144" s="464">
        <v>0</v>
      </c>
      <c r="G144" s="459">
        <v>0</v>
      </c>
      <c r="H144" s="460"/>
      <c r="W144" s="431">
        <v>8164</v>
      </c>
    </row>
    <row r="145" spans="1:23" hidden="1" x14ac:dyDescent="0.25">
      <c r="A145" s="462" t="s">
        <v>775</v>
      </c>
      <c r="B145" s="470" t="s">
        <v>776</v>
      </c>
      <c r="C145" s="464">
        <v>0</v>
      </c>
      <c r="D145" s="464">
        <v>0</v>
      </c>
      <c r="E145" s="465">
        <v>0</v>
      </c>
      <c r="F145" s="464">
        <v>0</v>
      </c>
      <c r="G145" s="459">
        <v>0</v>
      </c>
      <c r="H145" s="460"/>
      <c r="W145" s="431">
        <v>8165</v>
      </c>
    </row>
    <row r="146" spans="1:23" ht="38.25" hidden="1" x14ac:dyDescent="0.25">
      <c r="A146" s="462" t="s">
        <v>473</v>
      </c>
      <c r="B146" s="471" t="s">
        <v>777</v>
      </c>
      <c r="C146" s="464">
        <v>0</v>
      </c>
      <c r="D146" s="464">
        <v>0</v>
      </c>
      <c r="E146" s="465">
        <v>0</v>
      </c>
      <c r="F146" s="464">
        <v>0</v>
      </c>
      <c r="G146" s="459">
        <v>0</v>
      </c>
      <c r="H146" s="460"/>
      <c r="W146" s="431">
        <v>8166</v>
      </c>
    </row>
    <row r="147" spans="1:23" ht="38.25" hidden="1" x14ac:dyDescent="0.25">
      <c r="A147" s="462" t="s">
        <v>475</v>
      </c>
      <c r="B147" s="471" t="s">
        <v>778</v>
      </c>
      <c r="C147" s="464">
        <v>0</v>
      </c>
      <c r="D147" s="464">
        <v>0</v>
      </c>
      <c r="E147" s="465">
        <v>0</v>
      </c>
      <c r="F147" s="464">
        <v>0</v>
      </c>
      <c r="G147" s="459">
        <v>0</v>
      </c>
      <c r="H147" s="460"/>
      <c r="W147" s="431">
        <v>8167</v>
      </c>
    </row>
    <row r="148" spans="1:23" ht="38.25" hidden="1" x14ac:dyDescent="0.25">
      <c r="A148" s="462" t="s">
        <v>779</v>
      </c>
      <c r="B148" s="471" t="s">
        <v>780</v>
      </c>
      <c r="C148" s="464">
        <v>0</v>
      </c>
      <c r="D148" s="464">
        <v>0</v>
      </c>
      <c r="E148" s="465">
        <v>0</v>
      </c>
      <c r="F148" s="464">
        <v>0</v>
      </c>
      <c r="G148" s="459">
        <v>0</v>
      </c>
      <c r="H148" s="460"/>
      <c r="W148" s="431">
        <v>8168</v>
      </c>
    </row>
    <row r="149" spans="1:23" hidden="1" x14ac:dyDescent="0.25">
      <c r="A149" s="462" t="s">
        <v>781</v>
      </c>
      <c r="B149" s="470" t="s">
        <v>782</v>
      </c>
      <c r="C149" s="464">
        <v>0</v>
      </c>
      <c r="D149" s="464">
        <v>0</v>
      </c>
      <c r="E149" s="465">
        <v>0</v>
      </c>
      <c r="F149" s="464">
        <v>0</v>
      </c>
      <c r="G149" s="459">
        <v>0</v>
      </c>
      <c r="H149" s="460"/>
      <c r="W149" s="431">
        <v>8169</v>
      </c>
    </row>
    <row r="150" spans="1:23" ht="25.5" hidden="1" x14ac:dyDescent="0.25">
      <c r="A150" s="462" t="s">
        <v>783</v>
      </c>
      <c r="B150" s="471" t="s">
        <v>784</v>
      </c>
      <c r="C150" s="464">
        <v>0</v>
      </c>
      <c r="D150" s="464">
        <v>0</v>
      </c>
      <c r="E150" s="465">
        <v>0</v>
      </c>
      <c r="F150" s="464">
        <v>0</v>
      </c>
      <c r="G150" s="459">
        <v>0</v>
      </c>
      <c r="H150" s="460"/>
      <c r="W150" s="431">
        <v>8170</v>
      </c>
    </row>
    <row r="151" spans="1:23" ht="38.25" hidden="1" x14ac:dyDescent="0.25">
      <c r="A151" s="462" t="s">
        <v>785</v>
      </c>
      <c r="B151" s="471" t="s">
        <v>786</v>
      </c>
      <c r="C151" s="464">
        <v>0</v>
      </c>
      <c r="D151" s="464">
        <v>0</v>
      </c>
      <c r="E151" s="465">
        <v>0</v>
      </c>
      <c r="F151" s="464">
        <v>0</v>
      </c>
      <c r="G151" s="459">
        <v>0</v>
      </c>
      <c r="H151" s="460"/>
      <c r="W151" s="431">
        <v>8171</v>
      </c>
    </row>
    <row r="152" spans="1:23" ht="38.25" hidden="1" x14ac:dyDescent="0.25">
      <c r="A152" s="462" t="s">
        <v>787</v>
      </c>
      <c r="B152" s="471" t="s">
        <v>788</v>
      </c>
      <c r="C152" s="464">
        <v>0</v>
      </c>
      <c r="D152" s="464">
        <v>0</v>
      </c>
      <c r="E152" s="465">
        <v>0</v>
      </c>
      <c r="F152" s="464">
        <v>0</v>
      </c>
      <c r="G152" s="459">
        <v>0</v>
      </c>
      <c r="H152" s="460"/>
      <c r="W152" s="431">
        <v>8172</v>
      </c>
    </row>
    <row r="153" spans="1:23" ht="38.25" hidden="1" x14ac:dyDescent="0.25">
      <c r="A153" s="462" t="s">
        <v>789</v>
      </c>
      <c r="B153" s="470" t="s">
        <v>790</v>
      </c>
      <c r="C153" s="464">
        <v>0</v>
      </c>
      <c r="D153" s="464">
        <v>0</v>
      </c>
      <c r="E153" s="465">
        <v>0</v>
      </c>
      <c r="F153" s="464">
        <v>0</v>
      </c>
      <c r="G153" s="459">
        <v>0</v>
      </c>
      <c r="H153" s="460"/>
      <c r="W153" s="431">
        <v>8173</v>
      </c>
    </row>
    <row r="154" spans="1:23" ht="38.25" hidden="1" x14ac:dyDescent="0.25">
      <c r="A154" s="462" t="s">
        <v>791</v>
      </c>
      <c r="B154" s="471" t="s">
        <v>792</v>
      </c>
      <c r="C154" s="464">
        <v>0</v>
      </c>
      <c r="D154" s="464">
        <v>0</v>
      </c>
      <c r="E154" s="465">
        <v>0</v>
      </c>
      <c r="F154" s="464">
        <v>0</v>
      </c>
      <c r="G154" s="459">
        <v>0</v>
      </c>
      <c r="H154" s="460"/>
      <c r="W154" s="431">
        <v>8174</v>
      </c>
    </row>
    <row r="155" spans="1:23" ht="38.25" hidden="1" x14ac:dyDescent="0.25">
      <c r="A155" s="462" t="s">
        <v>793</v>
      </c>
      <c r="B155" s="471" t="s">
        <v>794</v>
      </c>
      <c r="C155" s="464">
        <v>0</v>
      </c>
      <c r="D155" s="464">
        <v>0</v>
      </c>
      <c r="E155" s="465">
        <v>0</v>
      </c>
      <c r="F155" s="464">
        <v>0</v>
      </c>
      <c r="G155" s="459">
        <v>0</v>
      </c>
      <c r="H155" s="460"/>
      <c r="W155" s="431">
        <v>8175</v>
      </c>
    </row>
    <row r="156" spans="1:23" ht="25.5" hidden="1" x14ac:dyDescent="0.25">
      <c r="A156" s="462" t="s">
        <v>795</v>
      </c>
      <c r="B156" s="470" t="s">
        <v>796</v>
      </c>
      <c r="C156" s="464">
        <v>0</v>
      </c>
      <c r="D156" s="464">
        <v>0</v>
      </c>
      <c r="E156" s="465">
        <v>0</v>
      </c>
      <c r="F156" s="464">
        <v>0</v>
      </c>
      <c r="G156" s="459">
        <v>0</v>
      </c>
      <c r="H156" s="460"/>
      <c r="W156" s="431">
        <v>8176</v>
      </c>
    </row>
    <row r="157" spans="1:23" hidden="1" x14ac:dyDescent="0.25">
      <c r="A157" s="462" t="s">
        <v>797</v>
      </c>
      <c r="B157" s="474" t="s">
        <v>798</v>
      </c>
      <c r="C157" s="464">
        <v>0</v>
      </c>
      <c r="D157" s="464">
        <v>0</v>
      </c>
      <c r="E157" s="465">
        <v>0</v>
      </c>
      <c r="F157" s="464">
        <v>0</v>
      </c>
      <c r="G157" s="459">
        <v>0</v>
      </c>
      <c r="H157" s="460"/>
      <c r="W157" s="431">
        <v>8177</v>
      </c>
    </row>
    <row r="158" spans="1:23" hidden="1" x14ac:dyDescent="0.25">
      <c r="A158" s="462" t="s">
        <v>799</v>
      </c>
      <c r="B158" s="474" t="s">
        <v>800</v>
      </c>
      <c r="C158" s="464">
        <v>0</v>
      </c>
      <c r="D158" s="464">
        <v>0</v>
      </c>
      <c r="E158" s="465">
        <v>0</v>
      </c>
      <c r="F158" s="464">
        <v>0</v>
      </c>
      <c r="G158" s="459">
        <v>0</v>
      </c>
      <c r="H158" s="460"/>
      <c r="W158" s="431">
        <v>8178</v>
      </c>
    </row>
    <row r="159" spans="1:23" hidden="1" x14ac:dyDescent="0.25">
      <c r="A159" s="462" t="s">
        <v>801</v>
      </c>
      <c r="B159" s="474" t="s">
        <v>802</v>
      </c>
      <c r="C159" s="464">
        <v>0</v>
      </c>
      <c r="D159" s="464">
        <v>0</v>
      </c>
      <c r="E159" s="465">
        <v>0</v>
      </c>
      <c r="F159" s="464">
        <v>0</v>
      </c>
      <c r="G159" s="459">
        <v>0</v>
      </c>
      <c r="H159" s="460"/>
      <c r="W159" s="431">
        <v>8179</v>
      </c>
    </row>
    <row r="160" spans="1:23" hidden="1" x14ac:dyDescent="0.25">
      <c r="A160" s="462" t="s">
        <v>803</v>
      </c>
      <c r="B160" s="470" t="s">
        <v>804</v>
      </c>
      <c r="C160" s="464">
        <v>0</v>
      </c>
      <c r="D160" s="464">
        <v>0</v>
      </c>
      <c r="E160" s="465">
        <v>0</v>
      </c>
      <c r="F160" s="464">
        <v>0</v>
      </c>
      <c r="G160" s="459">
        <v>0</v>
      </c>
      <c r="H160" s="460"/>
      <c r="W160" s="431">
        <v>8180</v>
      </c>
    </row>
    <row r="161" spans="1:23" hidden="1" x14ac:dyDescent="0.25">
      <c r="A161" s="462" t="s">
        <v>805</v>
      </c>
      <c r="B161" s="470" t="s">
        <v>806</v>
      </c>
      <c r="C161" s="464">
        <v>0</v>
      </c>
      <c r="D161" s="464">
        <v>0</v>
      </c>
      <c r="E161" s="465">
        <v>0</v>
      </c>
      <c r="F161" s="464">
        <v>0</v>
      </c>
      <c r="G161" s="459">
        <v>0</v>
      </c>
      <c r="H161" s="460"/>
      <c r="W161" s="431">
        <v>8181</v>
      </c>
    </row>
    <row r="162" spans="1:23" ht="38.25" hidden="1" x14ac:dyDescent="0.25">
      <c r="A162" s="462" t="s">
        <v>807</v>
      </c>
      <c r="B162" s="470" t="s">
        <v>808</v>
      </c>
      <c r="C162" s="464">
        <v>0</v>
      </c>
      <c r="D162" s="464">
        <v>0</v>
      </c>
      <c r="E162" s="465">
        <v>0</v>
      </c>
      <c r="F162" s="464">
        <v>0</v>
      </c>
      <c r="G162" s="459">
        <v>0</v>
      </c>
      <c r="H162" s="460"/>
      <c r="W162" s="431">
        <v>8182</v>
      </c>
    </row>
    <row r="163" spans="1:23" ht="25.5" hidden="1" x14ac:dyDescent="0.25">
      <c r="A163" s="462" t="s">
        <v>809</v>
      </c>
      <c r="B163" s="471" t="s">
        <v>810</v>
      </c>
      <c r="C163" s="464">
        <v>0</v>
      </c>
      <c r="D163" s="464">
        <v>0</v>
      </c>
      <c r="E163" s="465">
        <v>0</v>
      </c>
      <c r="F163" s="464">
        <v>0</v>
      </c>
      <c r="G163" s="459">
        <v>0</v>
      </c>
      <c r="H163" s="460"/>
      <c r="W163" s="431">
        <v>8183</v>
      </c>
    </row>
    <row r="164" spans="1:23" ht="25.5" hidden="1" x14ac:dyDescent="0.25">
      <c r="A164" s="462" t="s">
        <v>811</v>
      </c>
      <c r="B164" s="471" t="s">
        <v>812</v>
      </c>
      <c r="C164" s="464">
        <v>0</v>
      </c>
      <c r="D164" s="464">
        <v>0</v>
      </c>
      <c r="E164" s="465">
        <v>0</v>
      </c>
      <c r="F164" s="464">
        <v>0</v>
      </c>
      <c r="G164" s="459">
        <v>0</v>
      </c>
      <c r="H164" s="460"/>
    </row>
    <row r="165" spans="1:23" ht="25.5" hidden="1" x14ac:dyDescent="0.25">
      <c r="A165" s="462" t="s">
        <v>813</v>
      </c>
      <c r="B165" s="471" t="s">
        <v>814</v>
      </c>
      <c r="C165" s="464">
        <v>0</v>
      </c>
      <c r="D165" s="464">
        <v>0</v>
      </c>
      <c r="E165" s="465">
        <v>0</v>
      </c>
      <c r="F165" s="464">
        <v>0</v>
      </c>
      <c r="G165" s="459">
        <v>0</v>
      </c>
      <c r="H165" s="460"/>
      <c r="W165" s="431">
        <v>8184</v>
      </c>
    </row>
    <row r="166" spans="1:23" hidden="1" x14ac:dyDescent="0.25">
      <c r="A166" s="462" t="s">
        <v>815</v>
      </c>
      <c r="B166" s="470" t="s">
        <v>816</v>
      </c>
      <c r="C166" s="464">
        <v>0</v>
      </c>
      <c r="D166" s="464">
        <v>0</v>
      </c>
      <c r="E166" s="465">
        <v>0</v>
      </c>
      <c r="F166" s="464">
        <v>0</v>
      </c>
      <c r="G166" s="459">
        <v>0</v>
      </c>
      <c r="H166" s="460"/>
      <c r="W166" s="431">
        <v>8185</v>
      </c>
    </row>
    <row r="167" spans="1:23" hidden="1" x14ac:dyDescent="0.25">
      <c r="A167" s="462" t="s">
        <v>64</v>
      </c>
      <c r="B167" s="463" t="s">
        <v>817</v>
      </c>
      <c r="C167" s="464">
        <v>0</v>
      </c>
      <c r="D167" s="464">
        <v>0</v>
      </c>
      <c r="E167" s="465">
        <v>0</v>
      </c>
      <c r="F167" s="464">
        <v>0</v>
      </c>
      <c r="G167" s="459">
        <v>0</v>
      </c>
      <c r="H167" s="460"/>
      <c r="W167" s="431">
        <v>8186</v>
      </c>
    </row>
    <row r="168" spans="1:23" ht="25.5" hidden="1" x14ac:dyDescent="0.25">
      <c r="A168" s="462" t="s">
        <v>818</v>
      </c>
      <c r="B168" s="474" t="s">
        <v>819</v>
      </c>
      <c r="C168" s="464">
        <v>0</v>
      </c>
      <c r="D168" s="464">
        <v>0</v>
      </c>
      <c r="E168" s="465">
        <v>0</v>
      </c>
      <c r="F168" s="464">
        <v>0</v>
      </c>
      <c r="G168" s="459">
        <v>0</v>
      </c>
      <c r="H168" s="460"/>
      <c r="W168" s="431">
        <v>8187</v>
      </c>
    </row>
    <row r="169" spans="1:23" ht="25.5" hidden="1" x14ac:dyDescent="0.25">
      <c r="A169" s="462" t="s">
        <v>820</v>
      </c>
      <c r="B169" s="470" t="s">
        <v>821</v>
      </c>
      <c r="C169" s="464">
        <v>0</v>
      </c>
      <c r="D169" s="464">
        <v>0</v>
      </c>
      <c r="E169" s="465">
        <v>0</v>
      </c>
      <c r="F169" s="464">
        <v>0</v>
      </c>
      <c r="G169" s="459">
        <v>0</v>
      </c>
      <c r="H169" s="460"/>
      <c r="W169" s="431">
        <v>8188</v>
      </c>
    </row>
    <row r="170" spans="1:23" hidden="1" x14ac:dyDescent="0.25">
      <c r="A170" s="462" t="s">
        <v>822</v>
      </c>
      <c r="B170" s="471" t="s">
        <v>823</v>
      </c>
      <c r="C170" s="464">
        <v>0</v>
      </c>
      <c r="D170" s="464">
        <v>0</v>
      </c>
      <c r="E170" s="465">
        <v>0</v>
      </c>
      <c r="F170" s="464">
        <v>0</v>
      </c>
      <c r="G170" s="459">
        <v>0</v>
      </c>
      <c r="H170" s="460"/>
      <c r="W170" s="431">
        <v>8189</v>
      </c>
    </row>
    <row r="171" spans="1:23" hidden="1" x14ac:dyDescent="0.25">
      <c r="A171" s="462" t="s">
        <v>824</v>
      </c>
      <c r="B171" s="471" t="s">
        <v>825</v>
      </c>
      <c r="C171" s="464">
        <v>0</v>
      </c>
      <c r="D171" s="464">
        <v>0</v>
      </c>
      <c r="E171" s="465">
        <v>0</v>
      </c>
      <c r="F171" s="464">
        <v>0</v>
      </c>
      <c r="G171" s="459">
        <v>0</v>
      </c>
      <c r="H171" s="460"/>
      <c r="W171" s="431">
        <v>8190</v>
      </c>
    </row>
    <row r="172" spans="1:23" hidden="1" x14ac:dyDescent="0.25">
      <c r="A172" s="462" t="s">
        <v>826</v>
      </c>
      <c r="B172" s="471" t="s">
        <v>827</v>
      </c>
      <c r="C172" s="464">
        <v>0</v>
      </c>
      <c r="D172" s="464">
        <v>0</v>
      </c>
      <c r="E172" s="465">
        <v>0</v>
      </c>
      <c r="F172" s="464">
        <v>0</v>
      </c>
      <c r="G172" s="459">
        <v>0</v>
      </c>
      <c r="H172" s="460"/>
      <c r="W172" s="431">
        <v>8191</v>
      </c>
    </row>
    <row r="173" spans="1:23" hidden="1" x14ac:dyDescent="0.25">
      <c r="A173" s="462" t="s">
        <v>828</v>
      </c>
      <c r="B173" s="471" t="s">
        <v>829</v>
      </c>
      <c r="C173" s="464">
        <v>0</v>
      </c>
      <c r="D173" s="464">
        <v>0</v>
      </c>
      <c r="E173" s="465">
        <v>0</v>
      </c>
      <c r="F173" s="464">
        <v>0</v>
      </c>
      <c r="G173" s="459">
        <v>0</v>
      </c>
      <c r="H173" s="460"/>
      <c r="W173" s="431">
        <v>8192</v>
      </c>
    </row>
    <row r="174" spans="1:23" hidden="1" x14ac:dyDescent="0.25">
      <c r="A174" s="462" t="s">
        <v>830</v>
      </c>
      <c r="B174" s="470" t="s">
        <v>831</v>
      </c>
      <c r="C174" s="464">
        <v>0</v>
      </c>
      <c r="D174" s="464">
        <v>0</v>
      </c>
      <c r="E174" s="465">
        <v>0</v>
      </c>
      <c r="F174" s="464">
        <v>0</v>
      </c>
      <c r="G174" s="459">
        <v>0</v>
      </c>
      <c r="H174" s="460"/>
      <c r="W174" s="431">
        <v>8193</v>
      </c>
    </row>
    <row r="175" spans="1:23" hidden="1" x14ac:dyDescent="0.25">
      <c r="A175" s="462" t="s">
        <v>832</v>
      </c>
      <c r="B175" s="471" t="s">
        <v>833</v>
      </c>
      <c r="C175" s="464">
        <v>0</v>
      </c>
      <c r="D175" s="464">
        <v>0</v>
      </c>
      <c r="E175" s="465">
        <v>0</v>
      </c>
      <c r="F175" s="464">
        <v>0</v>
      </c>
      <c r="G175" s="459">
        <v>0</v>
      </c>
      <c r="H175" s="460"/>
      <c r="W175" s="431">
        <v>8194</v>
      </c>
    </row>
    <row r="176" spans="1:23" ht="25.5" hidden="1" x14ac:dyDescent="0.25">
      <c r="A176" s="462" t="s">
        <v>834</v>
      </c>
      <c r="B176" s="471" t="s">
        <v>835</v>
      </c>
      <c r="C176" s="464">
        <v>0</v>
      </c>
      <c r="D176" s="464">
        <v>0</v>
      </c>
      <c r="E176" s="465">
        <v>0</v>
      </c>
      <c r="F176" s="464">
        <v>0</v>
      </c>
      <c r="G176" s="459">
        <v>0</v>
      </c>
      <c r="H176" s="460"/>
      <c r="W176" s="431">
        <v>8195</v>
      </c>
    </row>
    <row r="177" spans="1:23" ht="25.5" hidden="1" x14ac:dyDescent="0.25">
      <c r="A177" s="462" t="s">
        <v>836</v>
      </c>
      <c r="B177" s="470" t="s">
        <v>837</v>
      </c>
      <c r="C177" s="464">
        <v>0</v>
      </c>
      <c r="D177" s="464">
        <v>0</v>
      </c>
      <c r="E177" s="465">
        <v>0</v>
      </c>
      <c r="F177" s="464">
        <v>0</v>
      </c>
      <c r="G177" s="459">
        <v>0</v>
      </c>
      <c r="H177" s="460"/>
      <c r="W177" s="431">
        <v>8196</v>
      </c>
    </row>
    <row r="178" spans="1:23" ht="51" hidden="1" x14ac:dyDescent="0.25">
      <c r="A178" s="462" t="s">
        <v>838</v>
      </c>
      <c r="B178" s="471" t="s">
        <v>839</v>
      </c>
      <c r="C178" s="464">
        <v>0</v>
      </c>
      <c r="D178" s="464">
        <v>0</v>
      </c>
      <c r="E178" s="465">
        <v>0</v>
      </c>
      <c r="F178" s="464">
        <v>0</v>
      </c>
      <c r="G178" s="459">
        <v>0</v>
      </c>
      <c r="H178" s="460"/>
      <c r="W178" s="431">
        <v>8197</v>
      </c>
    </row>
    <row r="179" spans="1:23" hidden="1" x14ac:dyDescent="0.25">
      <c r="A179" s="462" t="s">
        <v>840</v>
      </c>
      <c r="B179" s="471" t="s">
        <v>841</v>
      </c>
      <c r="C179" s="464">
        <v>0</v>
      </c>
      <c r="D179" s="464">
        <v>0</v>
      </c>
      <c r="E179" s="465">
        <v>0</v>
      </c>
      <c r="F179" s="464">
        <v>0</v>
      </c>
      <c r="G179" s="459">
        <v>0</v>
      </c>
      <c r="H179" s="460"/>
      <c r="W179" s="431">
        <v>8198</v>
      </c>
    </row>
    <row r="180" spans="1:23" hidden="1" x14ac:dyDescent="0.25">
      <c r="A180" s="462" t="s">
        <v>842</v>
      </c>
      <c r="B180" s="471" t="s">
        <v>843</v>
      </c>
      <c r="C180" s="464">
        <v>0</v>
      </c>
      <c r="D180" s="464">
        <v>0</v>
      </c>
      <c r="E180" s="465">
        <v>0</v>
      </c>
      <c r="F180" s="464">
        <v>0</v>
      </c>
      <c r="G180" s="459">
        <v>0</v>
      </c>
      <c r="H180" s="460"/>
      <c r="W180" s="431">
        <v>8199</v>
      </c>
    </row>
    <row r="181" spans="1:23" ht="25.5" hidden="1" x14ac:dyDescent="0.25">
      <c r="A181" s="462" t="s">
        <v>844</v>
      </c>
      <c r="B181" s="471" t="s">
        <v>845</v>
      </c>
      <c r="C181" s="464">
        <v>0</v>
      </c>
      <c r="D181" s="464">
        <v>0</v>
      </c>
      <c r="E181" s="465">
        <v>0</v>
      </c>
      <c r="F181" s="464">
        <v>0</v>
      </c>
      <c r="G181" s="459">
        <v>0</v>
      </c>
      <c r="H181" s="460"/>
      <c r="W181" s="431">
        <v>8200</v>
      </c>
    </row>
    <row r="182" spans="1:23" ht="51" hidden="1" x14ac:dyDescent="0.25">
      <c r="A182" s="462" t="s">
        <v>846</v>
      </c>
      <c r="B182" s="471" t="s">
        <v>847</v>
      </c>
      <c r="C182" s="464">
        <v>0</v>
      </c>
      <c r="D182" s="464">
        <v>0</v>
      </c>
      <c r="E182" s="465">
        <v>0</v>
      </c>
      <c r="F182" s="464">
        <v>0</v>
      </c>
      <c r="G182" s="459">
        <v>0</v>
      </c>
      <c r="H182" s="460"/>
      <c r="W182" s="431">
        <v>8201</v>
      </c>
    </row>
    <row r="183" spans="1:23" ht="38.25" hidden="1" x14ac:dyDescent="0.25">
      <c r="A183" s="462" t="s">
        <v>848</v>
      </c>
      <c r="B183" s="471" t="s">
        <v>849</v>
      </c>
      <c r="C183" s="464">
        <v>0</v>
      </c>
      <c r="D183" s="464">
        <v>0</v>
      </c>
      <c r="E183" s="465">
        <v>0</v>
      </c>
      <c r="F183" s="464">
        <v>0</v>
      </c>
      <c r="G183" s="459">
        <v>0</v>
      </c>
      <c r="H183" s="460"/>
      <c r="W183" s="431">
        <v>8202</v>
      </c>
    </row>
    <row r="184" spans="1:23" hidden="1" x14ac:dyDescent="0.25">
      <c r="A184" s="462" t="s">
        <v>850</v>
      </c>
      <c r="B184" s="470" t="s">
        <v>851</v>
      </c>
      <c r="C184" s="464">
        <v>0</v>
      </c>
      <c r="D184" s="464">
        <v>0</v>
      </c>
      <c r="E184" s="465">
        <v>0</v>
      </c>
      <c r="F184" s="464">
        <v>0</v>
      </c>
      <c r="G184" s="459">
        <v>0</v>
      </c>
      <c r="H184" s="460"/>
      <c r="W184" s="431">
        <v>8203</v>
      </c>
    </row>
    <row r="185" spans="1:23" ht="38.25" hidden="1" x14ac:dyDescent="0.25">
      <c r="A185" s="462" t="s">
        <v>852</v>
      </c>
      <c r="B185" s="470" t="s">
        <v>853</v>
      </c>
      <c r="C185" s="464">
        <v>0</v>
      </c>
      <c r="D185" s="464">
        <v>0</v>
      </c>
      <c r="E185" s="465">
        <v>0</v>
      </c>
      <c r="F185" s="464">
        <v>0</v>
      </c>
      <c r="G185" s="459">
        <v>0</v>
      </c>
      <c r="H185" s="460"/>
      <c r="W185" s="431">
        <v>8205</v>
      </c>
    </row>
    <row r="186" spans="1:23" ht="25.5" hidden="1" x14ac:dyDescent="0.25">
      <c r="A186" s="462" t="s">
        <v>854</v>
      </c>
      <c r="B186" s="471" t="s">
        <v>855</v>
      </c>
      <c r="C186" s="464">
        <v>0</v>
      </c>
      <c r="D186" s="464">
        <v>0</v>
      </c>
      <c r="E186" s="465">
        <v>0</v>
      </c>
      <c r="F186" s="464">
        <v>0</v>
      </c>
      <c r="G186" s="459">
        <v>0</v>
      </c>
      <c r="H186" s="460"/>
      <c r="W186" s="431">
        <v>8206</v>
      </c>
    </row>
    <row r="187" spans="1:23" ht="38.25" hidden="1" x14ac:dyDescent="0.25">
      <c r="A187" s="462" t="s">
        <v>856</v>
      </c>
      <c r="B187" s="471" t="s">
        <v>857</v>
      </c>
      <c r="C187" s="464">
        <v>0</v>
      </c>
      <c r="D187" s="464">
        <v>0</v>
      </c>
      <c r="E187" s="465">
        <v>0</v>
      </c>
      <c r="F187" s="464">
        <v>0</v>
      </c>
      <c r="G187" s="459">
        <v>0</v>
      </c>
      <c r="H187" s="460"/>
      <c r="W187" s="431">
        <v>8207</v>
      </c>
    </row>
    <row r="188" spans="1:23" ht="38.25" hidden="1" x14ac:dyDescent="0.25">
      <c r="A188" s="462" t="s">
        <v>858</v>
      </c>
      <c r="B188" s="471" t="s">
        <v>859</v>
      </c>
      <c r="C188" s="464">
        <v>0</v>
      </c>
      <c r="D188" s="464">
        <v>0</v>
      </c>
      <c r="E188" s="465">
        <v>0</v>
      </c>
      <c r="F188" s="464">
        <v>0</v>
      </c>
      <c r="G188" s="459">
        <v>0</v>
      </c>
      <c r="H188" s="460"/>
      <c r="W188" s="431">
        <v>8208</v>
      </c>
    </row>
    <row r="189" spans="1:23" ht="38.25" hidden="1" x14ac:dyDescent="0.25">
      <c r="A189" s="462" t="s">
        <v>860</v>
      </c>
      <c r="B189" s="471" t="s">
        <v>861</v>
      </c>
      <c r="C189" s="464">
        <v>0</v>
      </c>
      <c r="D189" s="464">
        <v>0</v>
      </c>
      <c r="E189" s="465">
        <v>0</v>
      </c>
      <c r="F189" s="464">
        <v>0</v>
      </c>
      <c r="G189" s="459">
        <v>0</v>
      </c>
      <c r="H189" s="460"/>
      <c r="W189" s="431">
        <v>8209</v>
      </c>
    </row>
    <row r="190" spans="1:23" ht="38.25" hidden="1" x14ac:dyDescent="0.25">
      <c r="A190" s="462" t="s">
        <v>862</v>
      </c>
      <c r="B190" s="471" t="s">
        <v>863</v>
      </c>
      <c r="C190" s="464">
        <v>0</v>
      </c>
      <c r="D190" s="464">
        <v>0</v>
      </c>
      <c r="E190" s="465">
        <v>0</v>
      </c>
      <c r="F190" s="464">
        <v>0</v>
      </c>
      <c r="G190" s="459">
        <v>0</v>
      </c>
      <c r="H190" s="460"/>
      <c r="W190" s="431">
        <v>8210</v>
      </c>
    </row>
    <row r="191" spans="1:23" ht="51" hidden="1" x14ac:dyDescent="0.25">
      <c r="A191" s="462" t="s">
        <v>864</v>
      </c>
      <c r="B191" s="471" t="s">
        <v>865</v>
      </c>
      <c r="C191" s="464">
        <v>0</v>
      </c>
      <c r="D191" s="464">
        <v>0</v>
      </c>
      <c r="E191" s="465">
        <v>0</v>
      </c>
      <c r="F191" s="464">
        <v>0</v>
      </c>
      <c r="G191" s="459">
        <v>0</v>
      </c>
      <c r="H191" s="460"/>
      <c r="W191" s="431">
        <v>8211</v>
      </c>
    </row>
    <row r="192" spans="1:23" ht="38.25" hidden="1" x14ac:dyDescent="0.25">
      <c r="A192" s="462" t="s">
        <v>866</v>
      </c>
      <c r="B192" s="470" t="s">
        <v>867</v>
      </c>
      <c r="C192" s="464">
        <v>0</v>
      </c>
      <c r="D192" s="464">
        <v>0</v>
      </c>
      <c r="E192" s="465">
        <v>0</v>
      </c>
      <c r="F192" s="464">
        <v>0</v>
      </c>
      <c r="G192" s="459">
        <v>0</v>
      </c>
      <c r="H192" s="460"/>
      <c r="W192" s="431">
        <v>8212</v>
      </c>
    </row>
    <row r="193" spans="1:23" hidden="1" x14ac:dyDescent="0.25">
      <c r="A193" s="462" t="s">
        <v>868</v>
      </c>
      <c r="B193" s="471" t="s">
        <v>869</v>
      </c>
      <c r="C193" s="464">
        <v>0</v>
      </c>
      <c r="D193" s="464">
        <v>0</v>
      </c>
      <c r="E193" s="465">
        <v>0</v>
      </c>
      <c r="F193" s="464">
        <v>0</v>
      </c>
      <c r="G193" s="459">
        <v>0</v>
      </c>
      <c r="H193" s="460"/>
      <c r="W193" s="431">
        <v>8213</v>
      </c>
    </row>
    <row r="194" spans="1:23" hidden="1" x14ac:dyDescent="0.25">
      <c r="A194" s="462" t="s">
        <v>870</v>
      </c>
      <c r="B194" s="471" t="s">
        <v>871</v>
      </c>
      <c r="C194" s="464">
        <v>0</v>
      </c>
      <c r="D194" s="464">
        <v>0</v>
      </c>
      <c r="E194" s="465">
        <v>0</v>
      </c>
      <c r="F194" s="464">
        <v>0</v>
      </c>
      <c r="G194" s="459">
        <v>0</v>
      </c>
      <c r="H194" s="460"/>
      <c r="W194" s="431">
        <v>8214</v>
      </c>
    </row>
    <row r="195" spans="1:23" ht="25.5" hidden="1" x14ac:dyDescent="0.25">
      <c r="A195" s="462" t="s">
        <v>872</v>
      </c>
      <c r="B195" s="471" t="s">
        <v>873</v>
      </c>
      <c r="C195" s="464">
        <v>0</v>
      </c>
      <c r="D195" s="464">
        <v>0</v>
      </c>
      <c r="E195" s="465">
        <v>0</v>
      </c>
      <c r="F195" s="464">
        <v>0</v>
      </c>
      <c r="G195" s="459">
        <v>0</v>
      </c>
      <c r="H195" s="460"/>
      <c r="W195" s="431">
        <v>8215</v>
      </c>
    </row>
    <row r="196" spans="1:23" ht="51" hidden="1" x14ac:dyDescent="0.25">
      <c r="A196" s="462" t="s">
        <v>874</v>
      </c>
      <c r="B196" s="471" t="s">
        <v>875</v>
      </c>
      <c r="C196" s="464">
        <v>0</v>
      </c>
      <c r="D196" s="464">
        <v>0</v>
      </c>
      <c r="E196" s="465">
        <v>0</v>
      </c>
      <c r="F196" s="464">
        <v>0</v>
      </c>
      <c r="G196" s="459">
        <v>0</v>
      </c>
      <c r="H196" s="460"/>
      <c r="W196" s="431">
        <v>8216</v>
      </c>
    </row>
    <row r="197" spans="1:23" hidden="1" x14ac:dyDescent="0.25">
      <c r="A197" s="462" t="s">
        <v>876</v>
      </c>
      <c r="B197" s="471" t="s">
        <v>877</v>
      </c>
      <c r="C197" s="464">
        <v>0</v>
      </c>
      <c r="D197" s="464">
        <v>0</v>
      </c>
      <c r="E197" s="465">
        <v>0</v>
      </c>
      <c r="F197" s="464">
        <v>0</v>
      </c>
      <c r="G197" s="459">
        <v>0</v>
      </c>
      <c r="H197" s="460"/>
      <c r="W197" s="431">
        <v>8217</v>
      </c>
    </row>
    <row r="198" spans="1:23" ht="25.5" hidden="1" x14ac:dyDescent="0.25">
      <c r="A198" s="462" t="s">
        <v>878</v>
      </c>
      <c r="B198" s="470" t="s">
        <v>879</v>
      </c>
      <c r="C198" s="464">
        <v>0</v>
      </c>
      <c r="D198" s="464">
        <v>0</v>
      </c>
      <c r="E198" s="465">
        <v>0</v>
      </c>
      <c r="F198" s="464">
        <v>0</v>
      </c>
      <c r="G198" s="459">
        <v>0</v>
      </c>
      <c r="H198" s="460"/>
      <c r="W198" s="431">
        <v>8218</v>
      </c>
    </row>
    <row r="199" spans="1:23" ht="25.5" hidden="1" x14ac:dyDescent="0.25">
      <c r="A199" s="462" t="s">
        <v>880</v>
      </c>
      <c r="B199" s="471" t="s">
        <v>881</v>
      </c>
      <c r="C199" s="464">
        <v>0</v>
      </c>
      <c r="D199" s="464">
        <v>0</v>
      </c>
      <c r="E199" s="465">
        <v>0</v>
      </c>
      <c r="F199" s="464">
        <v>0</v>
      </c>
      <c r="G199" s="459">
        <v>0</v>
      </c>
      <c r="H199" s="460"/>
      <c r="W199" s="431">
        <v>8219</v>
      </c>
    </row>
    <row r="200" spans="1:23" hidden="1" x14ac:dyDescent="0.25">
      <c r="A200" s="462" t="s">
        <v>882</v>
      </c>
      <c r="B200" s="471" t="s">
        <v>883</v>
      </c>
      <c r="C200" s="464">
        <v>0</v>
      </c>
      <c r="D200" s="464">
        <v>0</v>
      </c>
      <c r="E200" s="465">
        <v>0</v>
      </c>
      <c r="F200" s="464">
        <v>0</v>
      </c>
      <c r="G200" s="459">
        <v>0</v>
      </c>
      <c r="H200" s="460"/>
      <c r="W200" s="431">
        <v>8220</v>
      </c>
    </row>
    <row r="201" spans="1:23" hidden="1" x14ac:dyDescent="0.25">
      <c r="A201" s="462" t="s">
        <v>884</v>
      </c>
      <c r="B201" s="471" t="s">
        <v>885</v>
      </c>
      <c r="C201" s="464">
        <v>0</v>
      </c>
      <c r="D201" s="464">
        <v>0</v>
      </c>
      <c r="E201" s="465">
        <v>0</v>
      </c>
      <c r="F201" s="464">
        <v>0</v>
      </c>
      <c r="G201" s="459">
        <v>0</v>
      </c>
      <c r="H201" s="460"/>
      <c r="W201" s="431">
        <v>8221</v>
      </c>
    </row>
    <row r="202" spans="1:23" ht="25.5" hidden="1" x14ac:dyDescent="0.25">
      <c r="A202" s="462" t="s">
        <v>886</v>
      </c>
      <c r="B202" s="471" t="s">
        <v>887</v>
      </c>
      <c r="C202" s="464">
        <v>0</v>
      </c>
      <c r="D202" s="464">
        <v>0</v>
      </c>
      <c r="E202" s="465">
        <v>0</v>
      </c>
      <c r="F202" s="464">
        <v>0</v>
      </c>
      <c r="G202" s="459">
        <v>0</v>
      </c>
      <c r="H202" s="460"/>
      <c r="W202" s="431">
        <v>8222</v>
      </c>
    </row>
    <row r="203" spans="1:23" ht="25.5" hidden="1" x14ac:dyDescent="0.25">
      <c r="A203" s="462" t="s">
        <v>888</v>
      </c>
      <c r="B203" s="471" t="s">
        <v>889</v>
      </c>
      <c r="C203" s="464">
        <v>0</v>
      </c>
      <c r="D203" s="464">
        <v>0</v>
      </c>
      <c r="E203" s="465">
        <v>0</v>
      </c>
      <c r="F203" s="464">
        <v>0</v>
      </c>
      <c r="G203" s="459">
        <v>0</v>
      </c>
      <c r="H203" s="460"/>
      <c r="W203" s="431">
        <v>8223</v>
      </c>
    </row>
    <row r="204" spans="1:23" ht="25.5" hidden="1" x14ac:dyDescent="0.25">
      <c r="A204" s="462" t="s">
        <v>890</v>
      </c>
      <c r="B204" s="471" t="s">
        <v>891</v>
      </c>
      <c r="C204" s="464">
        <v>0</v>
      </c>
      <c r="D204" s="464">
        <v>0</v>
      </c>
      <c r="E204" s="465">
        <v>0</v>
      </c>
      <c r="F204" s="464">
        <v>0</v>
      </c>
      <c r="G204" s="459">
        <v>0</v>
      </c>
      <c r="H204" s="460"/>
      <c r="W204" s="431">
        <v>8224</v>
      </c>
    </row>
    <row r="205" spans="1:23" ht="38.25" hidden="1" x14ac:dyDescent="0.25">
      <c r="A205" s="462" t="s">
        <v>892</v>
      </c>
      <c r="B205" s="474" t="s">
        <v>893</v>
      </c>
      <c r="C205" s="464">
        <v>0</v>
      </c>
      <c r="D205" s="464">
        <v>0</v>
      </c>
      <c r="E205" s="465">
        <v>0</v>
      </c>
      <c r="F205" s="464">
        <v>0</v>
      </c>
      <c r="G205" s="459">
        <v>0</v>
      </c>
      <c r="H205" s="460"/>
      <c r="W205" s="431">
        <v>8225</v>
      </c>
    </row>
    <row r="206" spans="1:23" ht="25.5" hidden="1" x14ac:dyDescent="0.25">
      <c r="A206" s="462" t="s">
        <v>894</v>
      </c>
      <c r="B206" s="470" t="s">
        <v>895</v>
      </c>
      <c r="C206" s="464">
        <v>0</v>
      </c>
      <c r="D206" s="464">
        <v>0</v>
      </c>
      <c r="E206" s="465">
        <v>0</v>
      </c>
      <c r="F206" s="464">
        <v>0</v>
      </c>
      <c r="G206" s="459">
        <v>0</v>
      </c>
      <c r="H206" s="460"/>
      <c r="W206" s="431">
        <v>8226</v>
      </c>
    </row>
    <row r="207" spans="1:23" hidden="1" x14ac:dyDescent="0.25">
      <c r="A207" s="462" t="s">
        <v>896</v>
      </c>
      <c r="B207" s="471" t="s">
        <v>897</v>
      </c>
      <c r="C207" s="464">
        <v>0</v>
      </c>
      <c r="D207" s="464">
        <v>0</v>
      </c>
      <c r="E207" s="465">
        <v>0</v>
      </c>
      <c r="F207" s="464">
        <v>0</v>
      </c>
      <c r="G207" s="459">
        <v>0</v>
      </c>
      <c r="H207" s="460"/>
      <c r="W207" s="431">
        <v>8227</v>
      </c>
    </row>
    <row r="208" spans="1:23" ht="51" hidden="1" x14ac:dyDescent="0.25">
      <c r="A208" s="462" t="s">
        <v>898</v>
      </c>
      <c r="B208" s="471" t="s">
        <v>899</v>
      </c>
      <c r="C208" s="464">
        <v>0</v>
      </c>
      <c r="D208" s="464">
        <v>0</v>
      </c>
      <c r="E208" s="465">
        <v>0</v>
      </c>
      <c r="F208" s="464">
        <v>0</v>
      </c>
      <c r="G208" s="459">
        <v>0</v>
      </c>
      <c r="H208" s="460"/>
      <c r="W208" s="431">
        <v>8228</v>
      </c>
    </row>
    <row r="209" spans="1:23" ht="25.5" hidden="1" x14ac:dyDescent="0.25">
      <c r="A209" s="462" t="s">
        <v>900</v>
      </c>
      <c r="B209" s="471" t="s">
        <v>901</v>
      </c>
      <c r="C209" s="464">
        <v>0</v>
      </c>
      <c r="D209" s="464">
        <v>0</v>
      </c>
      <c r="E209" s="465">
        <v>0</v>
      </c>
      <c r="F209" s="464">
        <v>0</v>
      </c>
      <c r="G209" s="459">
        <v>0</v>
      </c>
      <c r="H209" s="460"/>
      <c r="W209" s="431">
        <v>8229</v>
      </c>
    </row>
    <row r="210" spans="1:23" ht="25.5" hidden="1" x14ac:dyDescent="0.25">
      <c r="A210" s="462" t="s">
        <v>902</v>
      </c>
      <c r="B210" s="471" t="s">
        <v>903</v>
      </c>
      <c r="C210" s="464">
        <v>0</v>
      </c>
      <c r="D210" s="464">
        <v>0</v>
      </c>
      <c r="E210" s="465">
        <v>0</v>
      </c>
      <c r="F210" s="464">
        <v>0</v>
      </c>
      <c r="G210" s="459">
        <v>0</v>
      </c>
      <c r="H210" s="460"/>
      <c r="W210" s="431">
        <v>8230</v>
      </c>
    </row>
    <row r="211" spans="1:23" ht="25.5" hidden="1" x14ac:dyDescent="0.25">
      <c r="A211" s="462" t="s">
        <v>904</v>
      </c>
      <c r="B211" s="471" t="s">
        <v>905</v>
      </c>
      <c r="C211" s="464">
        <v>0</v>
      </c>
      <c r="D211" s="464">
        <v>0</v>
      </c>
      <c r="E211" s="465">
        <v>0</v>
      </c>
      <c r="F211" s="464">
        <v>0</v>
      </c>
      <c r="G211" s="459">
        <v>0</v>
      </c>
      <c r="H211" s="460"/>
      <c r="W211" s="431">
        <v>8231</v>
      </c>
    </row>
    <row r="212" spans="1:23" ht="38.25" hidden="1" x14ac:dyDescent="0.25">
      <c r="A212" s="462" t="s">
        <v>906</v>
      </c>
      <c r="B212" s="471" t="s">
        <v>907</v>
      </c>
      <c r="C212" s="464">
        <v>0</v>
      </c>
      <c r="D212" s="464">
        <v>0</v>
      </c>
      <c r="E212" s="465">
        <v>0</v>
      </c>
      <c r="F212" s="464">
        <v>0</v>
      </c>
      <c r="G212" s="459">
        <v>0</v>
      </c>
      <c r="H212" s="460"/>
      <c r="W212" s="431">
        <v>8232</v>
      </c>
    </row>
    <row r="213" spans="1:23" ht="25.5" hidden="1" x14ac:dyDescent="0.25">
      <c r="A213" s="462" t="s">
        <v>908</v>
      </c>
      <c r="B213" s="471" t="s">
        <v>909</v>
      </c>
      <c r="C213" s="464">
        <v>0</v>
      </c>
      <c r="D213" s="464">
        <v>0</v>
      </c>
      <c r="E213" s="465">
        <v>0</v>
      </c>
      <c r="F213" s="464">
        <v>0</v>
      </c>
      <c r="G213" s="459">
        <v>0</v>
      </c>
      <c r="H213" s="460"/>
      <c r="W213" s="431">
        <v>8233</v>
      </c>
    </row>
    <row r="214" spans="1:23" ht="25.5" hidden="1" x14ac:dyDescent="0.25">
      <c r="A214" s="462" t="s">
        <v>910</v>
      </c>
      <c r="B214" s="471" t="s">
        <v>911</v>
      </c>
      <c r="C214" s="464">
        <v>0</v>
      </c>
      <c r="D214" s="464">
        <v>0</v>
      </c>
      <c r="E214" s="465">
        <v>0</v>
      </c>
      <c r="F214" s="464">
        <v>0</v>
      </c>
      <c r="G214" s="459">
        <v>0</v>
      </c>
      <c r="H214" s="460"/>
      <c r="W214" s="431">
        <v>8234</v>
      </c>
    </row>
    <row r="215" spans="1:23" ht="51" hidden="1" x14ac:dyDescent="0.25">
      <c r="A215" s="462" t="s">
        <v>912</v>
      </c>
      <c r="B215" s="470" t="s">
        <v>913</v>
      </c>
      <c r="C215" s="464">
        <v>0</v>
      </c>
      <c r="D215" s="464">
        <v>0</v>
      </c>
      <c r="E215" s="465">
        <v>0</v>
      </c>
      <c r="F215" s="464">
        <v>0</v>
      </c>
      <c r="G215" s="459">
        <v>0</v>
      </c>
      <c r="H215" s="460"/>
      <c r="W215" s="431">
        <v>8235</v>
      </c>
    </row>
    <row r="216" spans="1:23" ht="25.5" hidden="1" x14ac:dyDescent="0.25">
      <c r="A216" s="462" t="s">
        <v>914</v>
      </c>
      <c r="B216" s="470" t="s">
        <v>915</v>
      </c>
      <c r="C216" s="464">
        <v>0</v>
      </c>
      <c r="D216" s="464">
        <v>0</v>
      </c>
      <c r="E216" s="465">
        <v>0</v>
      </c>
      <c r="F216" s="464">
        <v>0</v>
      </c>
      <c r="G216" s="459">
        <v>0</v>
      </c>
      <c r="H216" s="460"/>
      <c r="W216" s="431">
        <v>8236</v>
      </c>
    </row>
    <row r="217" spans="1:23" ht="63.75" hidden="1" x14ac:dyDescent="0.25">
      <c r="A217" s="462" t="s">
        <v>916</v>
      </c>
      <c r="B217" s="470" t="s">
        <v>917</v>
      </c>
      <c r="C217" s="464">
        <v>0</v>
      </c>
      <c r="D217" s="464">
        <v>0</v>
      </c>
      <c r="E217" s="465">
        <v>0</v>
      </c>
      <c r="F217" s="464">
        <v>0</v>
      </c>
      <c r="G217" s="459">
        <v>0</v>
      </c>
      <c r="H217" s="460"/>
      <c r="W217" s="431">
        <v>8237</v>
      </c>
    </row>
    <row r="218" spans="1:23" hidden="1" x14ac:dyDescent="0.25">
      <c r="A218" s="462" t="s">
        <v>918</v>
      </c>
      <c r="B218" s="470" t="s">
        <v>919</v>
      </c>
      <c r="C218" s="464">
        <v>0</v>
      </c>
      <c r="D218" s="464">
        <v>0</v>
      </c>
      <c r="E218" s="465">
        <v>0</v>
      </c>
      <c r="F218" s="464">
        <v>0</v>
      </c>
      <c r="G218" s="459">
        <v>0</v>
      </c>
      <c r="H218" s="460"/>
      <c r="W218" s="431">
        <v>8238</v>
      </c>
    </row>
    <row r="219" spans="1:23" ht="38.25" hidden="1" x14ac:dyDescent="0.25">
      <c r="A219" s="462" t="s">
        <v>920</v>
      </c>
      <c r="B219" s="470" t="s">
        <v>921</v>
      </c>
      <c r="C219" s="464">
        <v>0</v>
      </c>
      <c r="D219" s="464">
        <v>0</v>
      </c>
      <c r="E219" s="465">
        <v>0</v>
      </c>
      <c r="F219" s="464">
        <v>0</v>
      </c>
      <c r="G219" s="459">
        <v>0</v>
      </c>
      <c r="H219" s="460"/>
      <c r="W219" s="431">
        <v>8239</v>
      </c>
    </row>
    <row r="220" spans="1:23" ht="25.5" hidden="1" x14ac:dyDescent="0.25">
      <c r="A220" s="462" t="s">
        <v>922</v>
      </c>
      <c r="B220" s="471" t="s">
        <v>923</v>
      </c>
      <c r="C220" s="464">
        <v>0</v>
      </c>
      <c r="D220" s="464">
        <v>0</v>
      </c>
      <c r="E220" s="465">
        <v>0</v>
      </c>
      <c r="F220" s="464">
        <v>0</v>
      </c>
      <c r="G220" s="459">
        <v>0</v>
      </c>
      <c r="H220" s="460"/>
      <c r="W220" s="431">
        <v>8240</v>
      </c>
    </row>
    <row r="221" spans="1:23" ht="25.5" hidden="1" x14ac:dyDescent="0.25">
      <c r="A221" s="462" t="s">
        <v>924</v>
      </c>
      <c r="B221" s="471" t="s">
        <v>925</v>
      </c>
      <c r="C221" s="464">
        <v>0</v>
      </c>
      <c r="D221" s="464">
        <v>0</v>
      </c>
      <c r="E221" s="465">
        <v>0</v>
      </c>
      <c r="F221" s="464">
        <v>0</v>
      </c>
      <c r="G221" s="459">
        <v>0</v>
      </c>
      <c r="H221" s="460"/>
      <c r="W221" s="431">
        <v>8241</v>
      </c>
    </row>
    <row r="222" spans="1:23" ht="38.25" hidden="1" x14ac:dyDescent="0.25">
      <c r="A222" s="462" t="s">
        <v>926</v>
      </c>
      <c r="B222" s="471" t="s">
        <v>927</v>
      </c>
      <c r="C222" s="464">
        <v>0</v>
      </c>
      <c r="D222" s="464">
        <v>0</v>
      </c>
      <c r="E222" s="465">
        <v>0</v>
      </c>
      <c r="F222" s="464">
        <v>0</v>
      </c>
      <c r="G222" s="459">
        <v>0</v>
      </c>
      <c r="H222" s="460"/>
      <c r="W222" s="431">
        <v>8242</v>
      </c>
    </row>
    <row r="223" spans="1:23" ht="38.25" hidden="1" x14ac:dyDescent="0.25">
      <c r="A223" s="462" t="s">
        <v>928</v>
      </c>
      <c r="B223" s="471" t="s">
        <v>929</v>
      </c>
      <c r="C223" s="464">
        <v>0</v>
      </c>
      <c r="D223" s="464">
        <v>0</v>
      </c>
      <c r="E223" s="465">
        <v>0</v>
      </c>
      <c r="F223" s="464">
        <v>0</v>
      </c>
      <c r="G223" s="459">
        <v>0</v>
      </c>
      <c r="H223" s="460"/>
      <c r="W223" s="431">
        <v>8243</v>
      </c>
    </row>
    <row r="224" spans="1:23" ht="38.25" hidden="1" x14ac:dyDescent="0.25">
      <c r="A224" s="462" t="s">
        <v>930</v>
      </c>
      <c r="B224" s="471" t="s">
        <v>931</v>
      </c>
      <c r="C224" s="464">
        <v>0</v>
      </c>
      <c r="D224" s="464">
        <v>0</v>
      </c>
      <c r="E224" s="465">
        <v>0</v>
      </c>
      <c r="F224" s="464">
        <v>0</v>
      </c>
      <c r="G224" s="459">
        <v>0</v>
      </c>
      <c r="H224" s="460"/>
      <c r="W224" s="431">
        <v>8244</v>
      </c>
    </row>
    <row r="225" spans="1:23" ht="51" hidden="1" x14ac:dyDescent="0.25">
      <c r="A225" s="462" t="s">
        <v>932</v>
      </c>
      <c r="B225" s="471" t="s">
        <v>933</v>
      </c>
      <c r="C225" s="464">
        <v>0</v>
      </c>
      <c r="D225" s="464">
        <v>0</v>
      </c>
      <c r="E225" s="465">
        <v>0</v>
      </c>
      <c r="F225" s="464">
        <v>0</v>
      </c>
      <c r="G225" s="459">
        <v>0</v>
      </c>
      <c r="H225" s="460"/>
      <c r="W225" s="431">
        <v>8245</v>
      </c>
    </row>
    <row r="226" spans="1:23" hidden="1" x14ac:dyDescent="0.25">
      <c r="A226" s="462" t="s">
        <v>934</v>
      </c>
      <c r="B226" s="474" t="s">
        <v>935</v>
      </c>
      <c r="C226" s="464">
        <v>0</v>
      </c>
      <c r="D226" s="464">
        <v>0</v>
      </c>
      <c r="E226" s="465">
        <v>0</v>
      </c>
      <c r="F226" s="464">
        <v>0</v>
      </c>
      <c r="G226" s="459">
        <v>0</v>
      </c>
      <c r="H226" s="460"/>
      <c r="W226" s="431">
        <v>8246</v>
      </c>
    </row>
    <row r="227" spans="1:23" hidden="1" x14ac:dyDescent="0.25">
      <c r="A227" s="462" t="s">
        <v>936</v>
      </c>
      <c r="B227" s="470" t="s">
        <v>937</v>
      </c>
      <c r="C227" s="464">
        <v>0</v>
      </c>
      <c r="D227" s="464">
        <v>0</v>
      </c>
      <c r="E227" s="465">
        <v>0</v>
      </c>
      <c r="F227" s="464">
        <v>0</v>
      </c>
      <c r="G227" s="459">
        <v>0</v>
      </c>
      <c r="H227" s="460"/>
      <c r="W227" s="431">
        <v>8250</v>
      </c>
    </row>
    <row r="228" spans="1:23" hidden="1" x14ac:dyDescent="0.25">
      <c r="A228" s="462" t="s">
        <v>938</v>
      </c>
      <c r="B228" s="470" t="s">
        <v>939</v>
      </c>
      <c r="C228" s="464">
        <v>0</v>
      </c>
      <c r="D228" s="464">
        <v>0</v>
      </c>
      <c r="E228" s="465">
        <v>0</v>
      </c>
      <c r="F228" s="464">
        <v>0</v>
      </c>
      <c r="G228" s="459">
        <v>0</v>
      </c>
      <c r="H228" s="460"/>
      <c r="W228" s="431">
        <v>8251</v>
      </c>
    </row>
    <row r="229" spans="1:23" hidden="1" x14ac:dyDescent="0.25">
      <c r="A229" s="462" t="s">
        <v>940</v>
      </c>
      <c r="B229" s="470" t="s">
        <v>941</v>
      </c>
      <c r="C229" s="464">
        <v>0</v>
      </c>
      <c r="D229" s="464">
        <v>0</v>
      </c>
      <c r="E229" s="465">
        <v>0</v>
      </c>
      <c r="F229" s="464">
        <v>0</v>
      </c>
      <c r="G229" s="459">
        <v>0</v>
      </c>
      <c r="H229" s="460"/>
      <c r="W229" s="431">
        <v>8252</v>
      </c>
    </row>
    <row r="230" spans="1:23" ht="25.5" hidden="1" x14ac:dyDescent="0.25">
      <c r="A230" s="462" t="s">
        <v>942</v>
      </c>
      <c r="B230" s="470" t="s">
        <v>943</v>
      </c>
      <c r="C230" s="464">
        <v>0</v>
      </c>
      <c r="D230" s="464">
        <v>0</v>
      </c>
      <c r="E230" s="465">
        <v>0</v>
      </c>
      <c r="F230" s="464">
        <v>0</v>
      </c>
      <c r="G230" s="459">
        <v>0</v>
      </c>
      <c r="H230" s="460"/>
      <c r="W230" s="431">
        <v>8253</v>
      </c>
    </row>
    <row r="231" spans="1:23" ht="25.5" hidden="1" x14ac:dyDescent="0.25">
      <c r="A231" s="462" t="s">
        <v>944</v>
      </c>
      <c r="B231" s="471" t="s">
        <v>945</v>
      </c>
      <c r="C231" s="464">
        <v>0</v>
      </c>
      <c r="D231" s="464">
        <v>0</v>
      </c>
      <c r="E231" s="465">
        <v>0</v>
      </c>
      <c r="F231" s="464">
        <v>0</v>
      </c>
      <c r="G231" s="459">
        <v>0</v>
      </c>
      <c r="H231" s="460"/>
      <c r="W231" s="431">
        <v>8254</v>
      </c>
    </row>
    <row r="232" spans="1:23" ht="25.5" hidden="1" x14ac:dyDescent="0.25">
      <c r="A232" s="462" t="s">
        <v>946</v>
      </c>
      <c r="B232" s="471" t="s">
        <v>947</v>
      </c>
      <c r="C232" s="464">
        <v>0</v>
      </c>
      <c r="D232" s="464">
        <v>0</v>
      </c>
      <c r="E232" s="465">
        <v>0</v>
      </c>
      <c r="F232" s="464">
        <v>0</v>
      </c>
      <c r="G232" s="459">
        <v>0</v>
      </c>
      <c r="H232" s="460"/>
      <c r="W232" s="431">
        <v>8255</v>
      </c>
    </row>
    <row r="233" spans="1:23" ht="25.5" hidden="1" x14ac:dyDescent="0.25">
      <c r="A233" s="462" t="s">
        <v>948</v>
      </c>
      <c r="B233" s="471" t="s">
        <v>949</v>
      </c>
      <c r="C233" s="464">
        <v>0</v>
      </c>
      <c r="D233" s="464">
        <v>0</v>
      </c>
      <c r="E233" s="465">
        <v>0</v>
      </c>
      <c r="F233" s="464">
        <v>0</v>
      </c>
      <c r="G233" s="459">
        <v>0</v>
      </c>
      <c r="H233" s="460"/>
      <c r="W233" s="431">
        <v>8256</v>
      </c>
    </row>
    <row r="234" spans="1:23" ht="25.5" hidden="1" x14ac:dyDescent="0.25">
      <c r="A234" s="462" t="s">
        <v>950</v>
      </c>
      <c r="B234" s="471" t="s">
        <v>951</v>
      </c>
      <c r="C234" s="464">
        <v>0</v>
      </c>
      <c r="D234" s="464">
        <v>0</v>
      </c>
      <c r="E234" s="465">
        <v>0</v>
      </c>
      <c r="F234" s="464">
        <v>0</v>
      </c>
      <c r="G234" s="459">
        <v>0</v>
      </c>
      <c r="H234" s="460"/>
      <c r="W234" s="431">
        <v>8257</v>
      </c>
    </row>
    <row r="235" spans="1:23" hidden="1" x14ac:dyDescent="0.25">
      <c r="A235" s="462" t="s">
        <v>952</v>
      </c>
      <c r="B235" s="470" t="s">
        <v>953</v>
      </c>
      <c r="C235" s="464">
        <v>0</v>
      </c>
      <c r="D235" s="464">
        <v>0</v>
      </c>
      <c r="E235" s="465">
        <v>0</v>
      </c>
      <c r="F235" s="464">
        <v>0</v>
      </c>
      <c r="G235" s="459">
        <v>0</v>
      </c>
      <c r="H235" s="460"/>
      <c r="W235" s="431">
        <v>8258</v>
      </c>
    </row>
    <row r="236" spans="1:23" hidden="1" x14ac:dyDescent="0.25">
      <c r="A236" s="462" t="s">
        <v>954</v>
      </c>
      <c r="B236" s="471" t="s">
        <v>955</v>
      </c>
      <c r="C236" s="464">
        <v>0</v>
      </c>
      <c r="D236" s="464">
        <v>0</v>
      </c>
      <c r="E236" s="465">
        <v>0</v>
      </c>
      <c r="F236" s="464">
        <v>0</v>
      </c>
      <c r="G236" s="459">
        <v>0</v>
      </c>
      <c r="H236" s="460"/>
      <c r="W236" s="431">
        <v>8259</v>
      </c>
    </row>
    <row r="237" spans="1:23" hidden="1" x14ac:dyDescent="0.25">
      <c r="A237" s="462" t="s">
        <v>956</v>
      </c>
      <c r="B237" s="471" t="s">
        <v>957</v>
      </c>
      <c r="C237" s="464">
        <v>0</v>
      </c>
      <c r="D237" s="464">
        <v>0</v>
      </c>
      <c r="E237" s="465">
        <v>0</v>
      </c>
      <c r="F237" s="464">
        <v>0</v>
      </c>
      <c r="G237" s="459">
        <v>0</v>
      </c>
      <c r="H237" s="460"/>
      <c r="W237" s="431">
        <v>8260</v>
      </c>
    </row>
    <row r="238" spans="1:23" ht="63.75" hidden="1" x14ac:dyDescent="0.25">
      <c r="A238" s="462" t="s">
        <v>958</v>
      </c>
      <c r="B238" s="471" t="s">
        <v>959</v>
      </c>
      <c r="C238" s="464">
        <v>0</v>
      </c>
      <c r="D238" s="464">
        <v>0</v>
      </c>
      <c r="E238" s="465">
        <v>0</v>
      </c>
      <c r="F238" s="464">
        <v>0</v>
      </c>
      <c r="G238" s="459">
        <v>0</v>
      </c>
      <c r="H238" s="460"/>
      <c r="W238" s="431">
        <v>8261</v>
      </c>
    </row>
    <row r="239" spans="1:23" ht="25.5" hidden="1" x14ac:dyDescent="0.25">
      <c r="A239" s="462" t="s">
        <v>960</v>
      </c>
      <c r="B239" s="471" t="s">
        <v>961</v>
      </c>
      <c r="C239" s="464">
        <v>0</v>
      </c>
      <c r="D239" s="464">
        <v>0</v>
      </c>
      <c r="E239" s="465">
        <v>0</v>
      </c>
      <c r="F239" s="464">
        <v>0</v>
      </c>
      <c r="G239" s="459">
        <v>0</v>
      </c>
      <c r="H239" s="460"/>
      <c r="W239" s="431">
        <v>8262</v>
      </c>
    </row>
    <row r="240" spans="1:23" hidden="1" x14ac:dyDescent="0.25">
      <c r="A240" s="462" t="s">
        <v>67</v>
      </c>
      <c r="B240" s="474" t="s">
        <v>962</v>
      </c>
      <c r="C240" s="464">
        <v>0</v>
      </c>
      <c r="D240" s="464">
        <v>0</v>
      </c>
      <c r="E240" s="465">
        <v>0</v>
      </c>
      <c r="F240" s="464">
        <v>0</v>
      </c>
      <c r="G240" s="459">
        <v>0</v>
      </c>
      <c r="H240" s="460"/>
      <c r="W240" s="431">
        <v>8263</v>
      </c>
    </row>
    <row r="241" spans="1:23" hidden="1" x14ac:dyDescent="0.25">
      <c r="A241" s="462" t="s">
        <v>963</v>
      </c>
      <c r="B241" s="470" t="s">
        <v>964</v>
      </c>
      <c r="C241" s="464">
        <v>0</v>
      </c>
      <c r="D241" s="464">
        <v>0</v>
      </c>
      <c r="E241" s="465">
        <v>0</v>
      </c>
      <c r="F241" s="464">
        <v>0</v>
      </c>
      <c r="G241" s="459">
        <v>0</v>
      </c>
      <c r="H241" s="460"/>
      <c r="W241" s="431">
        <v>8264</v>
      </c>
    </row>
    <row r="242" spans="1:23" ht="25.5" hidden="1" x14ac:dyDescent="0.25">
      <c r="A242" s="462" t="s">
        <v>965</v>
      </c>
      <c r="B242" s="470" t="s">
        <v>966</v>
      </c>
      <c r="C242" s="464">
        <v>0</v>
      </c>
      <c r="D242" s="464">
        <v>0</v>
      </c>
      <c r="E242" s="465">
        <v>0</v>
      </c>
      <c r="F242" s="464">
        <v>0</v>
      </c>
      <c r="G242" s="459">
        <v>0</v>
      </c>
      <c r="H242" s="460"/>
      <c r="W242" s="431">
        <v>8265</v>
      </c>
    </row>
    <row r="243" spans="1:23" ht="25.5" hidden="1" x14ac:dyDescent="0.25">
      <c r="A243" s="462" t="s">
        <v>967</v>
      </c>
      <c r="B243" s="470" t="s">
        <v>968</v>
      </c>
      <c r="C243" s="464">
        <v>0</v>
      </c>
      <c r="D243" s="464">
        <v>0</v>
      </c>
      <c r="E243" s="465">
        <v>0</v>
      </c>
      <c r="F243" s="464">
        <v>0</v>
      </c>
      <c r="G243" s="459">
        <v>0</v>
      </c>
      <c r="H243" s="460"/>
      <c r="W243" s="431">
        <v>8266</v>
      </c>
    </row>
    <row r="244" spans="1:23" hidden="1" x14ac:dyDescent="0.25">
      <c r="A244" s="462" t="s">
        <v>969</v>
      </c>
      <c r="B244" s="470" t="s">
        <v>970</v>
      </c>
      <c r="C244" s="464">
        <v>0</v>
      </c>
      <c r="D244" s="464">
        <v>0</v>
      </c>
      <c r="E244" s="465">
        <v>0</v>
      </c>
      <c r="F244" s="464">
        <v>0</v>
      </c>
      <c r="G244" s="459">
        <v>0</v>
      </c>
      <c r="H244" s="460"/>
      <c r="W244" s="431">
        <v>8267</v>
      </c>
    </row>
    <row r="245" spans="1:23" ht="51" hidden="1" x14ac:dyDescent="0.25">
      <c r="A245" s="462" t="s">
        <v>971</v>
      </c>
      <c r="B245" s="470" t="s">
        <v>972</v>
      </c>
      <c r="C245" s="464">
        <v>0</v>
      </c>
      <c r="D245" s="464">
        <v>0</v>
      </c>
      <c r="E245" s="465">
        <v>0</v>
      </c>
      <c r="F245" s="464">
        <v>0</v>
      </c>
      <c r="G245" s="459">
        <v>0</v>
      </c>
      <c r="H245" s="460"/>
      <c r="W245" s="431">
        <v>8268</v>
      </c>
    </row>
    <row r="246" spans="1:23" hidden="1" x14ac:dyDescent="0.25">
      <c r="A246" s="462" t="s">
        <v>973</v>
      </c>
      <c r="B246" s="470" t="s">
        <v>974</v>
      </c>
      <c r="C246" s="464">
        <v>0</v>
      </c>
      <c r="D246" s="464">
        <v>0</v>
      </c>
      <c r="E246" s="465">
        <v>0</v>
      </c>
      <c r="F246" s="464">
        <v>0</v>
      </c>
      <c r="G246" s="459">
        <v>0</v>
      </c>
      <c r="H246" s="460"/>
      <c r="W246" s="431">
        <v>8269</v>
      </c>
    </row>
    <row r="247" spans="1:23" ht="25.5" hidden="1" x14ac:dyDescent="0.25">
      <c r="A247" s="462" t="s">
        <v>975</v>
      </c>
      <c r="B247" s="470" t="s">
        <v>976</v>
      </c>
      <c r="C247" s="464">
        <v>0</v>
      </c>
      <c r="D247" s="464">
        <v>0</v>
      </c>
      <c r="E247" s="465">
        <v>0</v>
      </c>
      <c r="F247" s="464">
        <v>0</v>
      </c>
      <c r="G247" s="459">
        <v>0</v>
      </c>
      <c r="H247" s="460"/>
      <c r="W247" s="431">
        <v>8270</v>
      </c>
    </row>
    <row r="248" spans="1:23" hidden="1" x14ac:dyDescent="0.25">
      <c r="A248" s="462" t="s">
        <v>79</v>
      </c>
      <c r="B248" s="474" t="s">
        <v>977</v>
      </c>
      <c r="C248" s="464">
        <v>0</v>
      </c>
      <c r="D248" s="464">
        <v>0</v>
      </c>
      <c r="E248" s="465">
        <v>0</v>
      </c>
      <c r="F248" s="464">
        <v>0</v>
      </c>
      <c r="G248" s="459">
        <v>0</v>
      </c>
      <c r="H248" s="460"/>
      <c r="W248" s="431">
        <v>8271</v>
      </c>
    </row>
    <row r="249" spans="1:23" ht="25.5" hidden="1" x14ac:dyDescent="0.25">
      <c r="A249" s="462" t="s">
        <v>978</v>
      </c>
      <c r="B249" s="470" t="s">
        <v>979</v>
      </c>
      <c r="C249" s="464">
        <v>0</v>
      </c>
      <c r="D249" s="464">
        <v>0</v>
      </c>
      <c r="E249" s="465">
        <v>0</v>
      </c>
      <c r="F249" s="464">
        <v>0</v>
      </c>
      <c r="G249" s="459">
        <v>0</v>
      </c>
      <c r="H249" s="460"/>
      <c r="W249" s="431">
        <v>8272</v>
      </c>
    </row>
    <row r="250" spans="1:23" ht="25.5" hidden="1" x14ac:dyDescent="0.25">
      <c r="A250" s="462" t="s">
        <v>980</v>
      </c>
      <c r="B250" s="470" t="s">
        <v>981</v>
      </c>
      <c r="C250" s="464">
        <v>0</v>
      </c>
      <c r="D250" s="464">
        <v>0</v>
      </c>
      <c r="E250" s="465">
        <v>0</v>
      </c>
      <c r="F250" s="464">
        <v>0</v>
      </c>
      <c r="G250" s="459">
        <v>0</v>
      </c>
      <c r="H250" s="460"/>
      <c r="W250" s="431">
        <v>8273</v>
      </c>
    </row>
    <row r="251" spans="1:23" hidden="1" x14ac:dyDescent="0.25">
      <c r="A251" s="462" t="s">
        <v>982</v>
      </c>
      <c r="B251" s="470" t="s">
        <v>983</v>
      </c>
      <c r="C251" s="464">
        <v>0</v>
      </c>
      <c r="D251" s="464">
        <v>0</v>
      </c>
      <c r="E251" s="465">
        <v>0</v>
      </c>
      <c r="F251" s="464">
        <v>0</v>
      </c>
      <c r="G251" s="459">
        <v>0</v>
      </c>
      <c r="H251" s="460"/>
      <c r="W251" s="431">
        <v>8274</v>
      </c>
    </row>
    <row r="252" spans="1:23" hidden="1" x14ac:dyDescent="0.25">
      <c r="A252" s="462" t="s">
        <v>984</v>
      </c>
      <c r="B252" s="470" t="s">
        <v>985</v>
      </c>
      <c r="C252" s="464">
        <v>0</v>
      </c>
      <c r="D252" s="464">
        <v>0</v>
      </c>
      <c r="E252" s="465">
        <v>0</v>
      </c>
      <c r="F252" s="464">
        <v>0</v>
      </c>
      <c r="G252" s="459">
        <v>0</v>
      </c>
      <c r="H252" s="460"/>
      <c r="W252" s="431">
        <v>8275</v>
      </c>
    </row>
    <row r="253" spans="1:23" hidden="1" x14ac:dyDescent="0.25">
      <c r="A253" s="462" t="s">
        <v>986</v>
      </c>
      <c r="B253" s="470" t="s">
        <v>987</v>
      </c>
      <c r="C253" s="464">
        <v>0</v>
      </c>
      <c r="D253" s="464">
        <v>0</v>
      </c>
      <c r="E253" s="465">
        <v>0</v>
      </c>
      <c r="F253" s="464">
        <v>0</v>
      </c>
      <c r="G253" s="459">
        <v>0</v>
      </c>
      <c r="H253" s="460"/>
      <c r="W253" s="431">
        <v>8276</v>
      </c>
    </row>
    <row r="254" spans="1:23" ht="25.5" hidden="1" x14ac:dyDescent="0.25">
      <c r="A254" s="462" t="s">
        <v>988</v>
      </c>
      <c r="B254" s="470" t="s">
        <v>989</v>
      </c>
      <c r="C254" s="464">
        <v>0</v>
      </c>
      <c r="D254" s="464">
        <v>0</v>
      </c>
      <c r="E254" s="465">
        <v>0</v>
      </c>
      <c r="F254" s="464">
        <v>0</v>
      </c>
      <c r="G254" s="459">
        <v>0</v>
      </c>
      <c r="H254" s="460"/>
      <c r="W254" s="431">
        <v>8277</v>
      </c>
    </row>
    <row r="255" spans="1:23" ht="25.5" hidden="1" x14ac:dyDescent="0.25">
      <c r="A255" s="462" t="s">
        <v>990</v>
      </c>
      <c r="B255" s="470" t="s">
        <v>991</v>
      </c>
      <c r="C255" s="464">
        <v>0</v>
      </c>
      <c r="D255" s="464">
        <v>0</v>
      </c>
      <c r="E255" s="465">
        <v>0</v>
      </c>
      <c r="F255" s="464">
        <v>0</v>
      </c>
      <c r="G255" s="459">
        <v>0</v>
      </c>
      <c r="H255" s="460"/>
      <c r="W255" s="431">
        <v>8278</v>
      </c>
    </row>
    <row r="256" spans="1:23" ht="25.5" hidden="1" x14ac:dyDescent="0.25">
      <c r="A256" s="462" t="s">
        <v>992</v>
      </c>
      <c r="B256" s="470" t="s">
        <v>993</v>
      </c>
      <c r="C256" s="464">
        <v>0</v>
      </c>
      <c r="D256" s="464">
        <v>0</v>
      </c>
      <c r="E256" s="465">
        <v>0</v>
      </c>
      <c r="F256" s="464">
        <v>0</v>
      </c>
      <c r="G256" s="459">
        <v>0</v>
      </c>
      <c r="H256" s="460"/>
      <c r="W256" s="431">
        <v>8279</v>
      </c>
    </row>
    <row r="257" spans="1:23" ht="25.5" hidden="1" x14ac:dyDescent="0.25">
      <c r="A257" s="462" t="s">
        <v>994</v>
      </c>
      <c r="B257" s="470" t="s">
        <v>995</v>
      </c>
      <c r="C257" s="464">
        <v>0</v>
      </c>
      <c r="D257" s="464">
        <v>0</v>
      </c>
      <c r="E257" s="465">
        <v>0</v>
      </c>
      <c r="F257" s="464">
        <v>0</v>
      </c>
      <c r="G257" s="459">
        <v>0</v>
      </c>
      <c r="H257" s="460"/>
      <c r="W257" s="431">
        <v>8280</v>
      </c>
    </row>
    <row r="258" spans="1:23" ht="25.5" hidden="1" x14ac:dyDescent="0.25">
      <c r="A258" s="462" t="s">
        <v>996</v>
      </c>
      <c r="B258" s="470" t="s">
        <v>997</v>
      </c>
      <c r="C258" s="464">
        <v>0</v>
      </c>
      <c r="D258" s="464">
        <v>0</v>
      </c>
      <c r="E258" s="465">
        <v>0</v>
      </c>
      <c r="F258" s="464">
        <v>0</v>
      </c>
      <c r="G258" s="459">
        <v>0</v>
      </c>
      <c r="H258" s="460"/>
      <c r="W258" s="431">
        <v>8281</v>
      </c>
    </row>
    <row r="259" spans="1:23" hidden="1" x14ac:dyDescent="0.25">
      <c r="A259" s="462" t="s">
        <v>998</v>
      </c>
      <c r="B259" s="470" t="s">
        <v>999</v>
      </c>
      <c r="C259" s="464">
        <v>0</v>
      </c>
      <c r="D259" s="464">
        <v>0</v>
      </c>
      <c r="E259" s="465">
        <v>0</v>
      </c>
      <c r="F259" s="464">
        <v>0</v>
      </c>
      <c r="G259" s="459">
        <v>0</v>
      </c>
      <c r="H259" s="460"/>
      <c r="W259" s="431">
        <v>8282</v>
      </c>
    </row>
    <row r="260" spans="1:23" hidden="1" x14ac:dyDescent="0.25">
      <c r="A260" s="462" t="s">
        <v>1000</v>
      </c>
      <c r="B260" s="474" t="s">
        <v>1001</v>
      </c>
      <c r="C260" s="464">
        <v>0</v>
      </c>
      <c r="D260" s="464">
        <v>0</v>
      </c>
      <c r="E260" s="465">
        <v>0</v>
      </c>
      <c r="F260" s="464">
        <v>0</v>
      </c>
      <c r="G260" s="459">
        <v>0</v>
      </c>
      <c r="H260" s="460"/>
      <c r="W260" s="431">
        <v>8283</v>
      </c>
    </row>
    <row r="261" spans="1:23" hidden="1" x14ac:dyDescent="0.25">
      <c r="A261" s="462" t="s">
        <v>1002</v>
      </c>
      <c r="B261" s="470" t="s">
        <v>1003</v>
      </c>
      <c r="C261" s="464">
        <v>0</v>
      </c>
      <c r="D261" s="464">
        <v>0</v>
      </c>
      <c r="E261" s="465">
        <v>0</v>
      </c>
      <c r="F261" s="464">
        <v>0</v>
      </c>
      <c r="G261" s="459">
        <v>0</v>
      </c>
      <c r="H261" s="460"/>
      <c r="W261" s="431">
        <v>8284</v>
      </c>
    </row>
    <row r="262" spans="1:23" hidden="1" x14ac:dyDescent="0.25">
      <c r="A262" s="462" t="s">
        <v>1004</v>
      </c>
      <c r="B262" s="470" t="s">
        <v>1005</v>
      </c>
      <c r="C262" s="464">
        <v>0</v>
      </c>
      <c r="D262" s="464">
        <v>0</v>
      </c>
      <c r="E262" s="465">
        <v>0</v>
      </c>
      <c r="F262" s="464">
        <v>0</v>
      </c>
      <c r="G262" s="459">
        <v>0</v>
      </c>
      <c r="H262" s="460"/>
      <c r="W262" s="431">
        <v>8285</v>
      </c>
    </row>
    <row r="263" spans="1:23" hidden="1" x14ac:dyDescent="0.25">
      <c r="A263" s="462" t="s">
        <v>100</v>
      </c>
      <c r="B263" s="463" t="s">
        <v>102</v>
      </c>
      <c r="C263" s="464">
        <v>0</v>
      </c>
      <c r="D263" s="464">
        <v>0</v>
      </c>
      <c r="E263" s="465">
        <v>0</v>
      </c>
      <c r="F263" s="464">
        <v>0</v>
      </c>
      <c r="G263" s="459">
        <v>0</v>
      </c>
      <c r="H263" s="460"/>
      <c r="W263" s="431">
        <v>8286</v>
      </c>
    </row>
    <row r="264" spans="1:23" hidden="1" x14ac:dyDescent="0.25">
      <c r="A264" s="462" t="s">
        <v>1006</v>
      </c>
      <c r="B264" s="474" t="s">
        <v>1007</v>
      </c>
      <c r="C264" s="464">
        <v>0</v>
      </c>
      <c r="D264" s="464">
        <v>0</v>
      </c>
      <c r="E264" s="465">
        <v>0</v>
      </c>
      <c r="F264" s="464">
        <v>0</v>
      </c>
      <c r="G264" s="459">
        <v>0</v>
      </c>
      <c r="H264" s="460"/>
      <c r="W264" s="431">
        <v>8287</v>
      </c>
    </row>
    <row r="265" spans="1:23" ht="25.5" hidden="1" x14ac:dyDescent="0.25">
      <c r="A265" s="462" t="s">
        <v>1008</v>
      </c>
      <c r="B265" s="470" t="s">
        <v>1009</v>
      </c>
      <c r="C265" s="464">
        <v>0</v>
      </c>
      <c r="D265" s="464">
        <v>0</v>
      </c>
      <c r="E265" s="465">
        <v>0</v>
      </c>
      <c r="F265" s="464">
        <v>0</v>
      </c>
      <c r="G265" s="459">
        <v>0</v>
      </c>
      <c r="H265" s="460"/>
      <c r="W265" s="431">
        <v>8288</v>
      </c>
    </row>
    <row r="266" spans="1:23" hidden="1" x14ac:dyDescent="0.25">
      <c r="A266" s="462" t="s">
        <v>1010</v>
      </c>
      <c r="B266" s="471" t="s">
        <v>1011</v>
      </c>
      <c r="C266" s="464">
        <v>0</v>
      </c>
      <c r="D266" s="464">
        <v>0</v>
      </c>
      <c r="E266" s="465">
        <v>0</v>
      </c>
      <c r="F266" s="464">
        <v>0</v>
      </c>
      <c r="G266" s="459">
        <v>0</v>
      </c>
      <c r="H266" s="460"/>
      <c r="W266" s="431">
        <v>8289</v>
      </c>
    </row>
    <row r="267" spans="1:23" hidden="1" x14ac:dyDescent="0.25">
      <c r="A267" s="462" t="s">
        <v>1012</v>
      </c>
      <c r="B267" s="471" t="s">
        <v>1013</v>
      </c>
      <c r="C267" s="464">
        <v>0</v>
      </c>
      <c r="D267" s="464">
        <v>0</v>
      </c>
      <c r="E267" s="465">
        <v>0</v>
      </c>
      <c r="F267" s="464">
        <v>0</v>
      </c>
      <c r="G267" s="459">
        <v>0</v>
      </c>
      <c r="H267" s="460"/>
      <c r="W267" s="431">
        <v>8290</v>
      </c>
    </row>
    <row r="268" spans="1:23" ht="25.5" hidden="1" x14ac:dyDescent="0.25">
      <c r="A268" s="462" t="s">
        <v>1014</v>
      </c>
      <c r="B268" s="471" t="s">
        <v>1015</v>
      </c>
      <c r="C268" s="464">
        <v>0</v>
      </c>
      <c r="D268" s="464">
        <v>0</v>
      </c>
      <c r="E268" s="465">
        <v>0</v>
      </c>
      <c r="F268" s="464">
        <v>0</v>
      </c>
      <c r="G268" s="459">
        <v>0</v>
      </c>
      <c r="H268" s="460"/>
      <c r="W268" s="431">
        <v>8291</v>
      </c>
    </row>
    <row r="269" spans="1:23" ht="25.5" hidden="1" x14ac:dyDescent="0.25">
      <c r="A269" s="462" t="s">
        <v>1016</v>
      </c>
      <c r="B269" s="471" t="s">
        <v>1017</v>
      </c>
      <c r="C269" s="464">
        <v>0</v>
      </c>
      <c r="D269" s="464">
        <v>0</v>
      </c>
      <c r="E269" s="465">
        <v>0</v>
      </c>
      <c r="F269" s="464">
        <v>0</v>
      </c>
      <c r="G269" s="459">
        <v>0</v>
      </c>
      <c r="H269" s="460"/>
      <c r="W269" s="431">
        <v>8292</v>
      </c>
    </row>
    <row r="270" spans="1:23" hidden="1" x14ac:dyDescent="0.25">
      <c r="A270" s="462" t="s">
        <v>1018</v>
      </c>
      <c r="B270" s="471" t="s">
        <v>1019</v>
      </c>
      <c r="C270" s="464">
        <v>0</v>
      </c>
      <c r="D270" s="464">
        <v>0</v>
      </c>
      <c r="E270" s="465">
        <v>0</v>
      </c>
      <c r="F270" s="464">
        <v>0</v>
      </c>
      <c r="G270" s="459">
        <v>0</v>
      </c>
      <c r="H270" s="460"/>
      <c r="W270" s="431">
        <v>8293</v>
      </c>
    </row>
    <row r="271" spans="1:23" hidden="1" x14ac:dyDescent="0.25">
      <c r="A271" s="462" t="s">
        <v>1020</v>
      </c>
      <c r="B271" s="471" t="s">
        <v>1021</v>
      </c>
      <c r="C271" s="464">
        <v>0</v>
      </c>
      <c r="D271" s="464">
        <v>0</v>
      </c>
      <c r="E271" s="465">
        <v>0</v>
      </c>
      <c r="F271" s="464">
        <v>0</v>
      </c>
      <c r="G271" s="459">
        <v>0</v>
      </c>
      <c r="H271" s="460"/>
      <c r="W271" s="431">
        <v>8294</v>
      </c>
    </row>
    <row r="272" spans="1:23" hidden="1" x14ac:dyDescent="0.25">
      <c r="A272" s="462" t="s">
        <v>1022</v>
      </c>
      <c r="B272" s="471" t="s">
        <v>1023</v>
      </c>
      <c r="C272" s="464">
        <v>0</v>
      </c>
      <c r="D272" s="464">
        <v>0</v>
      </c>
      <c r="E272" s="465">
        <v>0</v>
      </c>
      <c r="F272" s="464">
        <v>0</v>
      </c>
      <c r="G272" s="459">
        <v>0</v>
      </c>
      <c r="H272" s="460"/>
      <c r="W272" s="431">
        <v>8295</v>
      </c>
    </row>
    <row r="273" spans="1:23" hidden="1" x14ac:dyDescent="0.25">
      <c r="A273" s="462" t="s">
        <v>1024</v>
      </c>
      <c r="B273" s="470" t="s">
        <v>1025</v>
      </c>
      <c r="C273" s="464">
        <v>0</v>
      </c>
      <c r="D273" s="464">
        <v>0</v>
      </c>
      <c r="E273" s="465">
        <v>0</v>
      </c>
      <c r="F273" s="464">
        <v>0</v>
      </c>
      <c r="G273" s="459">
        <v>0</v>
      </c>
      <c r="H273" s="460"/>
      <c r="W273" s="431">
        <v>8296</v>
      </c>
    </row>
    <row r="274" spans="1:23" ht="25.5" hidden="1" x14ac:dyDescent="0.25">
      <c r="A274" s="462" t="s">
        <v>1026</v>
      </c>
      <c r="B274" s="471" t="s">
        <v>1027</v>
      </c>
      <c r="C274" s="464">
        <v>0</v>
      </c>
      <c r="D274" s="464">
        <v>0</v>
      </c>
      <c r="E274" s="465">
        <v>0</v>
      </c>
      <c r="F274" s="464">
        <v>0</v>
      </c>
      <c r="G274" s="459">
        <v>0</v>
      </c>
      <c r="H274" s="460"/>
      <c r="W274" s="431">
        <v>8297</v>
      </c>
    </row>
    <row r="275" spans="1:23" ht="25.5" hidden="1" x14ac:dyDescent="0.25">
      <c r="A275" s="462" t="s">
        <v>1028</v>
      </c>
      <c r="B275" s="471" t="s">
        <v>1029</v>
      </c>
      <c r="C275" s="464">
        <v>0</v>
      </c>
      <c r="D275" s="464">
        <v>0</v>
      </c>
      <c r="E275" s="465">
        <v>0</v>
      </c>
      <c r="F275" s="464">
        <v>0</v>
      </c>
      <c r="G275" s="459">
        <v>0</v>
      </c>
      <c r="H275" s="460"/>
      <c r="W275" s="431">
        <v>8298</v>
      </c>
    </row>
    <row r="276" spans="1:23" ht="25.5" hidden="1" x14ac:dyDescent="0.25">
      <c r="A276" s="462" t="s">
        <v>1030</v>
      </c>
      <c r="B276" s="471" t="s">
        <v>1031</v>
      </c>
      <c r="C276" s="464">
        <v>0</v>
      </c>
      <c r="D276" s="464">
        <v>0</v>
      </c>
      <c r="E276" s="465">
        <v>0</v>
      </c>
      <c r="F276" s="464">
        <v>0</v>
      </c>
      <c r="G276" s="459">
        <v>0</v>
      </c>
      <c r="H276" s="460"/>
      <c r="W276" s="431">
        <v>8299</v>
      </c>
    </row>
    <row r="277" spans="1:23" hidden="1" x14ac:dyDescent="0.25">
      <c r="A277" s="462" t="s">
        <v>1032</v>
      </c>
      <c r="B277" s="470" t="s">
        <v>1033</v>
      </c>
      <c r="C277" s="464">
        <v>0</v>
      </c>
      <c r="D277" s="464">
        <v>0</v>
      </c>
      <c r="E277" s="465">
        <v>0</v>
      </c>
      <c r="F277" s="464">
        <v>0</v>
      </c>
      <c r="G277" s="459">
        <v>0</v>
      </c>
      <c r="H277" s="460"/>
      <c r="W277" s="431">
        <v>8300</v>
      </c>
    </row>
    <row r="278" spans="1:23" ht="25.5" hidden="1" x14ac:dyDescent="0.25">
      <c r="A278" s="462" t="s">
        <v>1034</v>
      </c>
      <c r="B278" s="471" t="s">
        <v>1035</v>
      </c>
      <c r="C278" s="464">
        <v>0</v>
      </c>
      <c r="D278" s="464">
        <v>0</v>
      </c>
      <c r="E278" s="465">
        <v>0</v>
      </c>
      <c r="F278" s="464">
        <v>0</v>
      </c>
      <c r="G278" s="459">
        <v>0</v>
      </c>
      <c r="H278" s="460"/>
      <c r="W278" s="431">
        <v>8301</v>
      </c>
    </row>
    <row r="279" spans="1:23" ht="25.5" hidden="1" x14ac:dyDescent="0.25">
      <c r="A279" s="462" t="s">
        <v>1036</v>
      </c>
      <c r="B279" s="471" t="s">
        <v>1037</v>
      </c>
      <c r="C279" s="464">
        <v>0</v>
      </c>
      <c r="D279" s="464">
        <v>0</v>
      </c>
      <c r="E279" s="465">
        <v>0</v>
      </c>
      <c r="F279" s="464">
        <v>0</v>
      </c>
      <c r="G279" s="459">
        <v>0</v>
      </c>
      <c r="H279" s="460"/>
      <c r="W279" s="431">
        <v>8302</v>
      </c>
    </row>
    <row r="280" spans="1:23" ht="25.5" hidden="1" x14ac:dyDescent="0.25">
      <c r="A280" s="462" t="s">
        <v>1038</v>
      </c>
      <c r="B280" s="471" t="s">
        <v>1039</v>
      </c>
      <c r="C280" s="464">
        <v>0</v>
      </c>
      <c r="D280" s="464">
        <v>0</v>
      </c>
      <c r="E280" s="465">
        <v>0</v>
      </c>
      <c r="F280" s="464">
        <v>0</v>
      </c>
      <c r="G280" s="459">
        <v>0</v>
      </c>
      <c r="H280" s="460"/>
      <c r="W280" s="431">
        <v>8303</v>
      </c>
    </row>
    <row r="281" spans="1:23" hidden="1" x14ac:dyDescent="0.25">
      <c r="A281" s="462" t="s">
        <v>104</v>
      </c>
      <c r="B281" s="470" t="s">
        <v>1040</v>
      </c>
      <c r="C281" s="464">
        <v>0</v>
      </c>
      <c r="D281" s="464">
        <v>0</v>
      </c>
      <c r="E281" s="465">
        <v>0</v>
      </c>
      <c r="F281" s="464">
        <v>0</v>
      </c>
      <c r="G281" s="459">
        <v>0</v>
      </c>
      <c r="H281" s="460"/>
      <c r="W281" s="431">
        <v>8304</v>
      </c>
    </row>
    <row r="282" spans="1:23" hidden="1" x14ac:dyDescent="0.25">
      <c r="A282" s="462" t="s">
        <v>106</v>
      </c>
      <c r="B282" s="470" t="s">
        <v>108</v>
      </c>
      <c r="C282" s="464">
        <v>0</v>
      </c>
      <c r="D282" s="464">
        <v>0</v>
      </c>
      <c r="E282" s="465">
        <v>0</v>
      </c>
      <c r="F282" s="464">
        <v>0</v>
      </c>
      <c r="G282" s="459">
        <v>0</v>
      </c>
      <c r="H282" s="460"/>
      <c r="W282" s="431">
        <v>8305</v>
      </c>
    </row>
    <row r="283" spans="1:23" ht="38.25" hidden="1" x14ac:dyDescent="0.25">
      <c r="A283" s="462" t="s">
        <v>1041</v>
      </c>
      <c r="B283" s="471" t="s">
        <v>1042</v>
      </c>
      <c r="C283" s="464">
        <v>0</v>
      </c>
      <c r="D283" s="464">
        <v>0</v>
      </c>
      <c r="E283" s="465">
        <v>0</v>
      </c>
      <c r="F283" s="464">
        <v>0</v>
      </c>
      <c r="G283" s="459">
        <v>0</v>
      </c>
      <c r="H283" s="460"/>
      <c r="W283" s="431">
        <v>8306</v>
      </c>
    </row>
    <row r="284" spans="1:23" ht="38.25" hidden="1" x14ac:dyDescent="0.25">
      <c r="A284" s="462" t="s">
        <v>1043</v>
      </c>
      <c r="B284" s="471" t="s">
        <v>1044</v>
      </c>
      <c r="C284" s="464">
        <v>0</v>
      </c>
      <c r="D284" s="464">
        <v>0</v>
      </c>
      <c r="E284" s="465">
        <v>0</v>
      </c>
      <c r="F284" s="464">
        <v>0</v>
      </c>
      <c r="G284" s="459">
        <v>0</v>
      </c>
      <c r="H284" s="460"/>
      <c r="W284" s="431">
        <v>8307</v>
      </c>
    </row>
    <row r="285" spans="1:23" ht="25.5" hidden="1" x14ac:dyDescent="0.25">
      <c r="A285" s="462" t="s">
        <v>1045</v>
      </c>
      <c r="B285" s="471" t="s">
        <v>1046</v>
      </c>
      <c r="C285" s="464">
        <v>0</v>
      </c>
      <c r="D285" s="464">
        <v>0</v>
      </c>
      <c r="E285" s="465">
        <v>0</v>
      </c>
      <c r="F285" s="464">
        <v>0</v>
      </c>
      <c r="G285" s="459">
        <v>0</v>
      </c>
      <c r="H285" s="460"/>
      <c r="W285" s="431">
        <v>8308</v>
      </c>
    </row>
    <row r="286" spans="1:23" ht="25.5" hidden="1" x14ac:dyDescent="0.25">
      <c r="A286" s="462" t="s">
        <v>1047</v>
      </c>
      <c r="B286" s="471" t="s">
        <v>1048</v>
      </c>
      <c r="C286" s="464">
        <v>0</v>
      </c>
      <c r="D286" s="464">
        <v>0</v>
      </c>
      <c r="E286" s="465">
        <v>0</v>
      </c>
      <c r="F286" s="464">
        <v>0</v>
      </c>
      <c r="G286" s="459">
        <v>0</v>
      </c>
      <c r="H286" s="460"/>
      <c r="W286" s="431">
        <v>8309</v>
      </c>
    </row>
    <row r="287" spans="1:23" hidden="1" x14ac:dyDescent="0.25">
      <c r="A287" s="462" t="s">
        <v>1049</v>
      </c>
      <c r="B287" s="470" t="s">
        <v>1050</v>
      </c>
      <c r="C287" s="464">
        <v>0</v>
      </c>
      <c r="D287" s="464">
        <v>0</v>
      </c>
      <c r="E287" s="465">
        <v>0</v>
      </c>
      <c r="F287" s="464">
        <v>0</v>
      </c>
      <c r="G287" s="459">
        <v>0</v>
      </c>
      <c r="H287" s="460"/>
      <c r="W287" s="431">
        <v>8310</v>
      </c>
    </row>
    <row r="288" spans="1:23" hidden="1" x14ac:dyDescent="0.25">
      <c r="A288" s="462" t="s">
        <v>1051</v>
      </c>
      <c r="B288" s="471" t="s">
        <v>1052</v>
      </c>
      <c r="C288" s="464">
        <v>0</v>
      </c>
      <c r="D288" s="464">
        <v>0</v>
      </c>
      <c r="E288" s="465">
        <v>0</v>
      </c>
      <c r="F288" s="464">
        <v>0</v>
      </c>
      <c r="G288" s="459">
        <v>0</v>
      </c>
      <c r="H288" s="460"/>
      <c r="W288" s="431">
        <v>8311</v>
      </c>
    </row>
    <row r="289" spans="1:23" hidden="1" x14ac:dyDescent="0.25">
      <c r="A289" s="462" t="s">
        <v>1053</v>
      </c>
      <c r="B289" s="471" t="s">
        <v>1054</v>
      </c>
      <c r="C289" s="464">
        <v>0</v>
      </c>
      <c r="D289" s="464">
        <v>0</v>
      </c>
      <c r="E289" s="465">
        <v>0</v>
      </c>
      <c r="F289" s="464">
        <v>0</v>
      </c>
      <c r="G289" s="459">
        <v>0</v>
      </c>
      <c r="H289" s="460"/>
      <c r="W289" s="431">
        <v>8312</v>
      </c>
    </row>
    <row r="290" spans="1:23" hidden="1" x14ac:dyDescent="0.25">
      <c r="A290" s="462" t="s">
        <v>1055</v>
      </c>
      <c r="B290" s="471" t="s">
        <v>1056</v>
      </c>
      <c r="C290" s="464">
        <v>0</v>
      </c>
      <c r="D290" s="464">
        <v>0</v>
      </c>
      <c r="E290" s="465">
        <v>0</v>
      </c>
      <c r="F290" s="464">
        <v>0</v>
      </c>
      <c r="G290" s="459">
        <v>0</v>
      </c>
      <c r="H290" s="460"/>
      <c r="W290" s="431">
        <v>8313</v>
      </c>
    </row>
    <row r="291" spans="1:23" ht="25.5" hidden="1" x14ac:dyDescent="0.25">
      <c r="A291" s="462" t="s">
        <v>1057</v>
      </c>
      <c r="B291" s="471" t="s">
        <v>1058</v>
      </c>
      <c r="C291" s="464">
        <v>0</v>
      </c>
      <c r="D291" s="464">
        <v>0</v>
      </c>
      <c r="E291" s="465">
        <v>0</v>
      </c>
      <c r="F291" s="464">
        <v>0</v>
      </c>
      <c r="G291" s="459">
        <v>0</v>
      </c>
      <c r="H291" s="460"/>
      <c r="W291" s="431">
        <v>8314</v>
      </c>
    </row>
    <row r="292" spans="1:23" hidden="1" x14ac:dyDescent="0.25">
      <c r="A292" s="462" t="s">
        <v>1059</v>
      </c>
      <c r="B292" s="471" t="s">
        <v>1060</v>
      </c>
      <c r="C292" s="464">
        <v>0</v>
      </c>
      <c r="D292" s="464">
        <v>0</v>
      </c>
      <c r="E292" s="465">
        <v>0</v>
      </c>
      <c r="F292" s="464">
        <v>0</v>
      </c>
      <c r="G292" s="459">
        <v>0</v>
      </c>
      <c r="H292" s="460"/>
      <c r="W292" s="431">
        <v>8315</v>
      </c>
    </row>
    <row r="293" spans="1:23" ht="25.5" hidden="1" x14ac:dyDescent="0.25">
      <c r="A293" s="462" t="s">
        <v>1061</v>
      </c>
      <c r="B293" s="471" t="s">
        <v>1062</v>
      </c>
      <c r="C293" s="464">
        <v>0</v>
      </c>
      <c r="D293" s="464">
        <v>0</v>
      </c>
      <c r="E293" s="465">
        <v>0</v>
      </c>
      <c r="F293" s="464">
        <v>0</v>
      </c>
      <c r="G293" s="459">
        <v>0</v>
      </c>
      <c r="H293" s="460"/>
      <c r="W293" s="431">
        <v>8316</v>
      </c>
    </row>
    <row r="294" spans="1:23" hidden="1" x14ac:dyDescent="0.25">
      <c r="A294" s="462" t="s">
        <v>1063</v>
      </c>
      <c r="B294" s="471" t="s">
        <v>1064</v>
      </c>
      <c r="C294" s="464">
        <v>0</v>
      </c>
      <c r="D294" s="464">
        <v>0</v>
      </c>
      <c r="E294" s="465">
        <v>0</v>
      </c>
      <c r="F294" s="464">
        <v>0</v>
      </c>
      <c r="G294" s="459">
        <v>0</v>
      </c>
      <c r="H294" s="460"/>
    </row>
    <row r="295" spans="1:23" ht="25.5" hidden="1" x14ac:dyDescent="0.25">
      <c r="A295" s="462" t="s">
        <v>1065</v>
      </c>
      <c r="B295" s="471" t="s">
        <v>1066</v>
      </c>
      <c r="C295" s="464">
        <v>0</v>
      </c>
      <c r="D295" s="464">
        <v>0</v>
      </c>
      <c r="E295" s="465">
        <v>0</v>
      </c>
      <c r="F295" s="464">
        <v>0</v>
      </c>
      <c r="G295" s="459">
        <v>0</v>
      </c>
      <c r="H295" s="460"/>
      <c r="W295" s="431">
        <v>8317</v>
      </c>
    </row>
    <row r="296" spans="1:23" ht="25.5" hidden="1" x14ac:dyDescent="0.25">
      <c r="A296" s="462" t="s">
        <v>1067</v>
      </c>
      <c r="B296" s="474" t="s">
        <v>1068</v>
      </c>
      <c r="C296" s="464">
        <v>0</v>
      </c>
      <c r="D296" s="464">
        <v>0</v>
      </c>
      <c r="E296" s="465">
        <v>0</v>
      </c>
      <c r="F296" s="464">
        <v>0</v>
      </c>
      <c r="G296" s="459">
        <v>0</v>
      </c>
      <c r="H296" s="460"/>
      <c r="W296" s="431">
        <v>8318</v>
      </c>
    </row>
    <row r="297" spans="1:23" ht="25.5" hidden="1" x14ac:dyDescent="0.25">
      <c r="A297" s="462" t="s">
        <v>1069</v>
      </c>
      <c r="B297" s="470" t="s">
        <v>1070</v>
      </c>
      <c r="C297" s="464">
        <v>0</v>
      </c>
      <c r="D297" s="464">
        <v>0</v>
      </c>
      <c r="E297" s="465">
        <v>0</v>
      </c>
      <c r="F297" s="464">
        <v>0</v>
      </c>
      <c r="G297" s="459">
        <v>0</v>
      </c>
      <c r="H297" s="460"/>
      <c r="W297" s="431">
        <v>8319</v>
      </c>
    </row>
    <row r="298" spans="1:23" ht="25.5" hidden="1" x14ac:dyDescent="0.25">
      <c r="A298" s="462" t="s">
        <v>1071</v>
      </c>
      <c r="B298" s="470" t="s">
        <v>1072</v>
      </c>
      <c r="C298" s="464">
        <v>0</v>
      </c>
      <c r="D298" s="464">
        <v>0</v>
      </c>
      <c r="E298" s="465">
        <v>0</v>
      </c>
      <c r="F298" s="464">
        <v>0</v>
      </c>
      <c r="G298" s="459">
        <v>0</v>
      </c>
      <c r="H298" s="460"/>
      <c r="W298" s="431">
        <v>8320</v>
      </c>
    </row>
    <row r="299" spans="1:23" ht="25.5" hidden="1" x14ac:dyDescent="0.25">
      <c r="A299" s="462" t="s">
        <v>1073</v>
      </c>
      <c r="B299" s="470" t="s">
        <v>1074</v>
      </c>
      <c r="C299" s="464">
        <v>0</v>
      </c>
      <c r="D299" s="464">
        <v>0</v>
      </c>
      <c r="E299" s="465">
        <v>0</v>
      </c>
      <c r="F299" s="464">
        <v>0</v>
      </c>
      <c r="G299" s="459">
        <v>0</v>
      </c>
      <c r="H299" s="460"/>
      <c r="W299" s="431">
        <v>8321</v>
      </c>
    </row>
    <row r="300" spans="1:23" ht="25.5" hidden="1" x14ac:dyDescent="0.25">
      <c r="A300" s="462" t="s">
        <v>109</v>
      </c>
      <c r="B300" s="474" t="s">
        <v>110</v>
      </c>
      <c r="C300" s="464">
        <v>0</v>
      </c>
      <c r="D300" s="464">
        <v>0</v>
      </c>
      <c r="E300" s="465">
        <v>0</v>
      </c>
      <c r="F300" s="464">
        <v>0</v>
      </c>
      <c r="G300" s="459">
        <v>0</v>
      </c>
      <c r="H300" s="460"/>
      <c r="W300" s="431">
        <v>8322</v>
      </c>
    </row>
    <row r="301" spans="1:23" hidden="1" x14ac:dyDescent="0.25">
      <c r="A301" s="462" t="s">
        <v>111</v>
      </c>
      <c r="B301" s="463" t="s">
        <v>113</v>
      </c>
      <c r="C301" s="464">
        <v>0</v>
      </c>
      <c r="D301" s="464">
        <v>0</v>
      </c>
      <c r="E301" s="465">
        <v>0</v>
      </c>
      <c r="F301" s="464">
        <v>0</v>
      </c>
      <c r="G301" s="459">
        <v>0</v>
      </c>
      <c r="H301" s="460"/>
      <c r="W301" s="431">
        <v>8326</v>
      </c>
    </row>
    <row r="302" spans="1:23" hidden="1" x14ac:dyDescent="0.25">
      <c r="A302" s="462" t="s">
        <v>1075</v>
      </c>
      <c r="B302" s="474" t="s">
        <v>1076</v>
      </c>
      <c r="C302" s="464">
        <v>0</v>
      </c>
      <c r="D302" s="464">
        <v>0</v>
      </c>
      <c r="E302" s="465">
        <v>0</v>
      </c>
      <c r="F302" s="464">
        <v>0</v>
      </c>
      <c r="G302" s="459">
        <v>0</v>
      </c>
      <c r="H302" s="460"/>
      <c r="W302" s="431">
        <v>8327</v>
      </c>
    </row>
    <row r="303" spans="1:23" ht="25.5" hidden="1" x14ac:dyDescent="0.25">
      <c r="A303" s="462" t="s">
        <v>1077</v>
      </c>
      <c r="B303" s="470" t="s">
        <v>1078</v>
      </c>
      <c r="C303" s="464">
        <v>0</v>
      </c>
      <c r="D303" s="464">
        <v>0</v>
      </c>
      <c r="E303" s="465">
        <v>0</v>
      </c>
      <c r="F303" s="464">
        <v>0</v>
      </c>
      <c r="G303" s="459">
        <v>0</v>
      </c>
      <c r="H303" s="460"/>
      <c r="W303" s="431">
        <v>8328</v>
      </c>
    </row>
    <row r="304" spans="1:23" ht="38.25" hidden="1" x14ac:dyDescent="0.25">
      <c r="A304" s="462" t="s">
        <v>1079</v>
      </c>
      <c r="B304" s="470" t="s">
        <v>1080</v>
      </c>
      <c r="C304" s="464">
        <v>0</v>
      </c>
      <c r="D304" s="464">
        <v>0</v>
      </c>
      <c r="E304" s="465">
        <v>0</v>
      </c>
      <c r="F304" s="464">
        <v>0</v>
      </c>
      <c r="G304" s="459">
        <v>0</v>
      </c>
      <c r="H304" s="460"/>
      <c r="W304" s="431">
        <v>8329</v>
      </c>
    </row>
    <row r="305" spans="1:23" ht="25.5" hidden="1" x14ac:dyDescent="0.25">
      <c r="A305" s="462" t="s">
        <v>1081</v>
      </c>
      <c r="B305" s="470" t="s">
        <v>1082</v>
      </c>
      <c r="C305" s="464">
        <v>0</v>
      </c>
      <c r="D305" s="464">
        <v>0</v>
      </c>
      <c r="E305" s="465">
        <v>0</v>
      </c>
      <c r="F305" s="464">
        <v>0</v>
      </c>
      <c r="G305" s="459">
        <v>0</v>
      </c>
      <c r="H305" s="460"/>
      <c r="W305" s="431">
        <v>8330</v>
      </c>
    </row>
    <row r="306" spans="1:23" ht="38.25" hidden="1" x14ac:dyDescent="0.25">
      <c r="A306" s="462" t="s">
        <v>1083</v>
      </c>
      <c r="B306" s="470" t="s">
        <v>1084</v>
      </c>
      <c r="C306" s="464">
        <v>0</v>
      </c>
      <c r="D306" s="464">
        <v>0</v>
      </c>
      <c r="E306" s="465">
        <v>0</v>
      </c>
      <c r="F306" s="464">
        <v>0</v>
      </c>
      <c r="G306" s="459">
        <v>0</v>
      </c>
      <c r="H306" s="460"/>
      <c r="W306" s="431">
        <v>8331</v>
      </c>
    </row>
    <row r="307" spans="1:23" ht="38.25" hidden="1" x14ac:dyDescent="0.25">
      <c r="A307" s="462" t="s">
        <v>1085</v>
      </c>
      <c r="B307" s="470" t="s">
        <v>1086</v>
      </c>
      <c r="C307" s="464">
        <v>0</v>
      </c>
      <c r="D307" s="464">
        <v>0</v>
      </c>
      <c r="E307" s="465">
        <v>0</v>
      </c>
      <c r="F307" s="464">
        <v>0</v>
      </c>
      <c r="G307" s="459">
        <v>0</v>
      </c>
      <c r="H307" s="460"/>
      <c r="W307" s="431">
        <v>8332</v>
      </c>
    </row>
    <row r="308" spans="1:23" ht="25.5" hidden="1" x14ac:dyDescent="0.25">
      <c r="A308" s="462" t="s">
        <v>1087</v>
      </c>
      <c r="B308" s="470" t="s">
        <v>1088</v>
      </c>
      <c r="C308" s="464">
        <v>0</v>
      </c>
      <c r="D308" s="464">
        <v>0</v>
      </c>
      <c r="E308" s="465">
        <v>0</v>
      </c>
      <c r="F308" s="464">
        <v>0</v>
      </c>
      <c r="G308" s="459">
        <v>0</v>
      </c>
      <c r="H308" s="460"/>
      <c r="W308" s="431">
        <v>8333</v>
      </c>
    </row>
    <row r="309" spans="1:23" ht="25.5" hidden="1" x14ac:dyDescent="0.25">
      <c r="A309" s="462" t="s">
        <v>1089</v>
      </c>
      <c r="B309" s="471" t="s">
        <v>1090</v>
      </c>
      <c r="C309" s="464">
        <v>0</v>
      </c>
      <c r="D309" s="464">
        <v>0</v>
      </c>
      <c r="E309" s="465">
        <v>0</v>
      </c>
      <c r="F309" s="464">
        <v>0</v>
      </c>
      <c r="G309" s="459">
        <v>0</v>
      </c>
      <c r="H309" s="460"/>
      <c r="W309" s="431">
        <v>8334</v>
      </c>
    </row>
    <row r="310" spans="1:23" ht="25.5" hidden="1" x14ac:dyDescent="0.25">
      <c r="A310" s="462" t="s">
        <v>1091</v>
      </c>
      <c r="B310" s="471" t="s">
        <v>1092</v>
      </c>
      <c r="C310" s="464">
        <v>0</v>
      </c>
      <c r="D310" s="464">
        <v>0</v>
      </c>
      <c r="E310" s="465">
        <v>0</v>
      </c>
      <c r="F310" s="464">
        <v>0</v>
      </c>
      <c r="G310" s="459">
        <v>0</v>
      </c>
      <c r="H310" s="460"/>
      <c r="W310" s="431">
        <v>8335</v>
      </c>
    </row>
    <row r="311" spans="1:23" ht="25.5" hidden="1" x14ac:dyDescent="0.25">
      <c r="A311" s="462" t="s">
        <v>1093</v>
      </c>
      <c r="B311" s="471" t="s">
        <v>1094</v>
      </c>
      <c r="C311" s="464">
        <v>0</v>
      </c>
      <c r="D311" s="464">
        <v>0</v>
      </c>
      <c r="E311" s="465">
        <v>0</v>
      </c>
      <c r="F311" s="464">
        <v>0</v>
      </c>
      <c r="G311" s="459">
        <v>0</v>
      </c>
      <c r="H311" s="460"/>
      <c r="W311" s="431">
        <v>8336</v>
      </c>
    </row>
    <row r="312" spans="1:23" ht="25.5" hidden="1" x14ac:dyDescent="0.25">
      <c r="A312" s="462" t="s">
        <v>1095</v>
      </c>
      <c r="B312" s="470" t="s">
        <v>1096</v>
      </c>
      <c r="C312" s="464">
        <v>0</v>
      </c>
      <c r="D312" s="464">
        <v>0</v>
      </c>
      <c r="E312" s="465">
        <v>0</v>
      </c>
      <c r="F312" s="464">
        <v>0</v>
      </c>
      <c r="G312" s="459">
        <v>0</v>
      </c>
      <c r="H312" s="460"/>
      <c r="W312" s="431">
        <v>8337</v>
      </c>
    </row>
    <row r="313" spans="1:23" ht="25.5" hidden="1" x14ac:dyDescent="0.25">
      <c r="A313" s="462" t="s">
        <v>1097</v>
      </c>
      <c r="B313" s="474" t="s">
        <v>1098</v>
      </c>
      <c r="C313" s="464">
        <v>0</v>
      </c>
      <c r="D313" s="464">
        <v>0</v>
      </c>
      <c r="E313" s="465">
        <v>0</v>
      </c>
      <c r="F313" s="464">
        <v>0</v>
      </c>
      <c r="G313" s="459">
        <v>0</v>
      </c>
      <c r="H313" s="460"/>
      <c r="W313" s="431">
        <v>8338</v>
      </c>
    </row>
    <row r="314" spans="1:23" ht="38.25" hidden="1" x14ac:dyDescent="0.25">
      <c r="A314" s="462" t="s">
        <v>1099</v>
      </c>
      <c r="B314" s="470" t="s">
        <v>1100</v>
      </c>
      <c r="C314" s="464">
        <v>0</v>
      </c>
      <c r="D314" s="464">
        <v>0</v>
      </c>
      <c r="E314" s="465">
        <v>0</v>
      </c>
      <c r="F314" s="464">
        <v>0</v>
      </c>
      <c r="G314" s="459">
        <v>0</v>
      </c>
      <c r="H314" s="460"/>
      <c r="W314" s="431">
        <v>8339</v>
      </c>
    </row>
    <row r="315" spans="1:23" ht="25.5" hidden="1" x14ac:dyDescent="0.25">
      <c r="A315" s="462" t="s">
        <v>1101</v>
      </c>
      <c r="B315" s="470" t="s">
        <v>1102</v>
      </c>
      <c r="C315" s="464">
        <v>0</v>
      </c>
      <c r="D315" s="464">
        <v>0</v>
      </c>
      <c r="E315" s="465">
        <v>0</v>
      </c>
      <c r="F315" s="464">
        <v>0</v>
      </c>
      <c r="G315" s="459">
        <v>0</v>
      </c>
      <c r="H315" s="460"/>
      <c r="W315" s="431">
        <v>8340</v>
      </c>
    </row>
    <row r="316" spans="1:23" ht="25.5" hidden="1" x14ac:dyDescent="0.25">
      <c r="A316" s="462" t="s">
        <v>1103</v>
      </c>
      <c r="B316" s="470" t="s">
        <v>1104</v>
      </c>
      <c r="C316" s="464">
        <v>0</v>
      </c>
      <c r="D316" s="464">
        <v>0</v>
      </c>
      <c r="E316" s="465">
        <v>0</v>
      </c>
      <c r="F316" s="464">
        <v>0</v>
      </c>
      <c r="G316" s="459">
        <v>0</v>
      </c>
      <c r="H316" s="460"/>
      <c r="W316" s="431">
        <v>8341</v>
      </c>
    </row>
    <row r="317" spans="1:23" ht="38.25" hidden="1" x14ac:dyDescent="0.25">
      <c r="A317" s="462" t="s">
        <v>1105</v>
      </c>
      <c r="B317" s="470" t="s">
        <v>1106</v>
      </c>
      <c r="C317" s="464">
        <v>0</v>
      </c>
      <c r="D317" s="464">
        <v>0</v>
      </c>
      <c r="E317" s="465">
        <v>0</v>
      </c>
      <c r="F317" s="464">
        <v>0</v>
      </c>
      <c r="G317" s="459">
        <v>0</v>
      </c>
      <c r="H317" s="460"/>
      <c r="W317" s="431">
        <v>8342</v>
      </c>
    </row>
    <row r="318" spans="1:23" ht="38.25" hidden="1" x14ac:dyDescent="0.25">
      <c r="A318" s="462" t="s">
        <v>1107</v>
      </c>
      <c r="B318" s="470" t="s">
        <v>1108</v>
      </c>
      <c r="C318" s="464">
        <v>0</v>
      </c>
      <c r="D318" s="464">
        <v>0</v>
      </c>
      <c r="E318" s="465">
        <v>0</v>
      </c>
      <c r="F318" s="464">
        <v>0</v>
      </c>
      <c r="G318" s="459">
        <v>0</v>
      </c>
      <c r="H318" s="460"/>
      <c r="W318" s="431">
        <v>8343</v>
      </c>
    </row>
    <row r="319" spans="1:23" ht="25.5" hidden="1" x14ac:dyDescent="0.25">
      <c r="A319" s="462" t="s">
        <v>1109</v>
      </c>
      <c r="B319" s="470" t="s">
        <v>1110</v>
      </c>
      <c r="C319" s="464">
        <v>0</v>
      </c>
      <c r="D319" s="464">
        <v>0</v>
      </c>
      <c r="E319" s="465">
        <v>0</v>
      </c>
      <c r="F319" s="464">
        <v>0</v>
      </c>
      <c r="G319" s="459">
        <v>0</v>
      </c>
      <c r="H319" s="460"/>
      <c r="W319" s="431">
        <v>8344</v>
      </c>
    </row>
    <row r="320" spans="1:23" ht="25.5" hidden="1" x14ac:dyDescent="0.25">
      <c r="A320" s="462" t="s">
        <v>1111</v>
      </c>
      <c r="B320" s="470" t="s">
        <v>1112</v>
      </c>
      <c r="C320" s="464">
        <v>0</v>
      </c>
      <c r="D320" s="464">
        <v>0</v>
      </c>
      <c r="E320" s="465">
        <v>0</v>
      </c>
      <c r="F320" s="464">
        <v>0</v>
      </c>
      <c r="G320" s="459">
        <v>0</v>
      </c>
      <c r="H320" s="460"/>
      <c r="W320" s="431">
        <v>8345</v>
      </c>
    </row>
    <row r="321" spans="1:23" ht="25.5" hidden="1" x14ac:dyDescent="0.25">
      <c r="A321" s="462" t="s">
        <v>1113</v>
      </c>
      <c r="B321" s="470" t="s">
        <v>1114</v>
      </c>
      <c r="C321" s="464">
        <v>0</v>
      </c>
      <c r="D321" s="464">
        <v>0</v>
      </c>
      <c r="E321" s="465">
        <v>0</v>
      </c>
      <c r="F321" s="464">
        <v>0</v>
      </c>
      <c r="G321" s="459">
        <v>0</v>
      </c>
      <c r="H321" s="460"/>
      <c r="W321" s="431">
        <v>8346</v>
      </c>
    </row>
    <row r="322" spans="1:23" hidden="1" x14ac:dyDescent="0.25">
      <c r="A322" s="462" t="s">
        <v>1115</v>
      </c>
      <c r="B322" s="470" t="s">
        <v>1116</v>
      </c>
      <c r="C322" s="464">
        <v>0</v>
      </c>
      <c r="D322" s="464">
        <v>0</v>
      </c>
      <c r="E322" s="465">
        <v>0</v>
      </c>
      <c r="F322" s="464">
        <v>0</v>
      </c>
      <c r="G322" s="459">
        <v>0</v>
      </c>
      <c r="H322" s="460"/>
      <c r="W322" s="431">
        <v>8347</v>
      </c>
    </row>
    <row r="323" spans="1:23" hidden="1" x14ac:dyDescent="0.25">
      <c r="A323" s="462" t="s">
        <v>1117</v>
      </c>
      <c r="B323" s="474" t="s">
        <v>1118</v>
      </c>
      <c r="C323" s="464">
        <v>0</v>
      </c>
      <c r="D323" s="464">
        <v>0</v>
      </c>
      <c r="E323" s="465">
        <v>0</v>
      </c>
      <c r="F323" s="464">
        <v>0</v>
      </c>
      <c r="G323" s="459">
        <v>0</v>
      </c>
      <c r="H323" s="460"/>
      <c r="W323" s="431">
        <v>8348</v>
      </c>
    </row>
    <row r="324" spans="1:23" hidden="1" x14ac:dyDescent="0.25">
      <c r="A324" s="462" t="s">
        <v>1119</v>
      </c>
      <c r="B324" s="470" t="s">
        <v>1120</v>
      </c>
      <c r="C324" s="464">
        <v>0</v>
      </c>
      <c r="D324" s="464">
        <v>0</v>
      </c>
      <c r="E324" s="465">
        <v>0</v>
      </c>
      <c r="F324" s="464">
        <v>0</v>
      </c>
      <c r="G324" s="459">
        <v>0</v>
      </c>
      <c r="H324" s="460"/>
      <c r="W324" s="431">
        <v>8349</v>
      </c>
    </row>
    <row r="325" spans="1:23" hidden="1" x14ac:dyDescent="0.25">
      <c r="A325" s="462" t="s">
        <v>1121</v>
      </c>
      <c r="B325" s="471" t="s">
        <v>1122</v>
      </c>
      <c r="C325" s="464">
        <v>0</v>
      </c>
      <c r="D325" s="464">
        <v>0</v>
      </c>
      <c r="E325" s="465">
        <v>0</v>
      </c>
      <c r="F325" s="464">
        <v>0</v>
      </c>
      <c r="G325" s="459">
        <v>0</v>
      </c>
      <c r="H325" s="460"/>
      <c r="W325" s="431">
        <v>8350</v>
      </c>
    </row>
    <row r="326" spans="1:23" hidden="1" x14ac:dyDescent="0.25">
      <c r="A326" s="462" t="s">
        <v>1123</v>
      </c>
      <c r="B326" s="471" t="s">
        <v>1124</v>
      </c>
      <c r="C326" s="464">
        <v>0</v>
      </c>
      <c r="D326" s="464">
        <v>0</v>
      </c>
      <c r="E326" s="465">
        <v>0</v>
      </c>
      <c r="F326" s="464">
        <v>0</v>
      </c>
      <c r="G326" s="459">
        <v>0</v>
      </c>
      <c r="H326" s="460"/>
      <c r="W326" s="431">
        <v>8351</v>
      </c>
    </row>
    <row r="327" spans="1:23" hidden="1" x14ac:dyDescent="0.25">
      <c r="A327" s="462" t="s">
        <v>1125</v>
      </c>
      <c r="B327" s="471" t="s">
        <v>1126</v>
      </c>
      <c r="C327" s="464">
        <v>0</v>
      </c>
      <c r="D327" s="464">
        <v>0</v>
      </c>
      <c r="E327" s="465">
        <v>0</v>
      </c>
      <c r="F327" s="464">
        <v>0</v>
      </c>
      <c r="G327" s="459">
        <v>0</v>
      </c>
      <c r="H327" s="460"/>
      <c r="W327" s="431">
        <v>8352</v>
      </c>
    </row>
    <row r="328" spans="1:23" ht="25.5" hidden="1" x14ac:dyDescent="0.25">
      <c r="A328" s="462" t="s">
        <v>1127</v>
      </c>
      <c r="B328" s="470" t="s">
        <v>1128</v>
      </c>
      <c r="C328" s="464">
        <v>0</v>
      </c>
      <c r="D328" s="464">
        <v>0</v>
      </c>
      <c r="E328" s="465">
        <v>0</v>
      </c>
      <c r="F328" s="464">
        <v>0</v>
      </c>
      <c r="G328" s="459">
        <v>0</v>
      </c>
      <c r="H328" s="460"/>
      <c r="W328" s="431">
        <v>8353</v>
      </c>
    </row>
    <row r="329" spans="1:23" ht="25.5" hidden="1" x14ac:dyDescent="0.25">
      <c r="A329" s="462" t="s">
        <v>1129</v>
      </c>
      <c r="B329" s="470" t="s">
        <v>1130</v>
      </c>
      <c r="C329" s="464">
        <v>0</v>
      </c>
      <c r="D329" s="464">
        <v>0</v>
      </c>
      <c r="E329" s="465">
        <v>0</v>
      </c>
      <c r="F329" s="464">
        <v>0</v>
      </c>
      <c r="G329" s="459">
        <v>0</v>
      </c>
      <c r="H329" s="460"/>
      <c r="W329" s="431">
        <v>8354</v>
      </c>
    </row>
    <row r="330" spans="1:23" ht="25.5" hidden="1" x14ac:dyDescent="0.25">
      <c r="A330" s="462" t="s">
        <v>1131</v>
      </c>
      <c r="B330" s="470" t="s">
        <v>1132</v>
      </c>
      <c r="C330" s="464">
        <v>0</v>
      </c>
      <c r="D330" s="464">
        <v>0</v>
      </c>
      <c r="E330" s="465">
        <v>0</v>
      </c>
      <c r="F330" s="464">
        <v>0</v>
      </c>
      <c r="G330" s="459">
        <v>0</v>
      </c>
      <c r="H330" s="460"/>
      <c r="W330" s="431">
        <v>8355</v>
      </c>
    </row>
    <row r="331" spans="1:23" ht="51" hidden="1" x14ac:dyDescent="0.25">
      <c r="A331" s="462" t="s">
        <v>1133</v>
      </c>
      <c r="B331" s="471" t="s">
        <v>1134</v>
      </c>
      <c r="C331" s="464">
        <v>0</v>
      </c>
      <c r="D331" s="464">
        <v>0</v>
      </c>
      <c r="E331" s="465">
        <v>0</v>
      </c>
      <c r="F331" s="464">
        <v>0</v>
      </c>
      <c r="G331" s="459">
        <v>0</v>
      </c>
      <c r="H331" s="460"/>
      <c r="W331" s="431">
        <v>8356</v>
      </c>
    </row>
    <row r="332" spans="1:23" ht="25.5" hidden="1" x14ac:dyDescent="0.25">
      <c r="A332" s="462" t="s">
        <v>1135</v>
      </c>
      <c r="B332" s="471" t="s">
        <v>1136</v>
      </c>
      <c r="C332" s="464">
        <v>0</v>
      </c>
      <c r="D332" s="464">
        <v>0</v>
      </c>
      <c r="E332" s="465">
        <v>0</v>
      </c>
      <c r="F332" s="464">
        <v>0</v>
      </c>
      <c r="G332" s="459">
        <v>0</v>
      </c>
      <c r="H332" s="460"/>
      <c r="W332" s="431">
        <v>8357</v>
      </c>
    </row>
    <row r="333" spans="1:23" hidden="1" x14ac:dyDescent="0.25">
      <c r="A333" s="462" t="s">
        <v>1137</v>
      </c>
      <c r="B333" s="470" t="s">
        <v>1138</v>
      </c>
      <c r="C333" s="464">
        <v>0</v>
      </c>
      <c r="D333" s="464">
        <v>0</v>
      </c>
      <c r="E333" s="465">
        <v>0</v>
      </c>
      <c r="F333" s="464">
        <v>0</v>
      </c>
      <c r="G333" s="459">
        <v>0</v>
      </c>
      <c r="H333" s="460"/>
      <c r="W333" s="431">
        <v>8359</v>
      </c>
    </row>
    <row r="334" spans="1:23" hidden="1" x14ac:dyDescent="0.25">
      <c r="A334" s="462" t="s">
        <v>1139</v>
      </c>
      <c r="B334" s="470" t="s">
        <v>1140</v>
      </c>
      <c r="C334" s="464">
        <v>0</v>
      </c>
      <c r="D334" s="464">
        <v>0</v>
      </c>
      <c r="E334" s="465">
        <v>0</v>
      </c>
      <c r="F334" s="464">
        <v>0</v>
      </c>
      <c r="G334" s="459">
        <v>0</v>
      </c>
      <c r="H334" s="460"/>
      <c r="W334" s="431">
        <v>8360</v>
      </c>
    </row>
    <row r="335" spans="1:23" hidden="1" x14ac:dyDescent="0.25">
      <c r="A335" s="462" t="s">
        <v>1141</v>
      </c>
      <c r="B335" s="470" t="s">
        <v>1142</v>
      </c>
      <c r="C335" s="464">
        <v>0</v>
      </c>
      <c r="D335" s="464">
        <v>0</v>
      </c>
      <c r="E335" s="465">
        <v>0</v>
      </c>
      <c r="F335" s="464">
        <v>0</v>
      </c>
      <c r="G335" s="459">
        <v>0</v>
      </c>
      <c r="H335" s="460"/>
      <c r="W335" s="431">
        <v>8361</v>
      </c>
    </row>
    <row r="336" spans="1:23" hidden="1" x14ac:dyDescent="0.25">
      <c r="A336" s="462" t="s">
        <v>1143</v>
      </c>
      <c r="B336" s="471" t="s">
        <v>1144</v>
      </c>
      <c r="C336" s="464">
        <v>0</v>
      </c>
      <c r="D336" s="464">
        <v>0</v>
      </c>
      <c r="E336" s="465">
        <v>0</v>
      </c>
      <c r="F336" s="464">
        <v>0</v>
      </c>
      <c r="G336" s="459">
        <v>0</v>
      </c>
      <c r="H336" s="460"/>
      <c r="W336" s="431">
        <v>8364</v>
      </c>
    </row>
    <row r="337" spans="1:23" ht="38.25" hidden="1" x14ac:dyDescent="0.25">
      <c r="A337" s="462" t="s">
        <v>1145</v>
      </c>
      <c r="B337" s="471" t="s">
        <v>1146</v>
      </c>
      <c r="C337" s="464">
        <v>0</v>
      </c>
      <c r="D337" s="464">
        <v>0</v>
      </c>
      <c r="E337" s="465">
        <v>0</v>
      </c>
      <c r="F337" s="464">
        <v>0</v>
      </c>
      <c r="G337" s="459">
        <v>0</v>
      </c>
      <c r="H337" s="460"/>
      <c r="W337" s="431">
        <v>8365</v>
      </c>
    </row>
    <row r="338" spans="1:23" hidden="1" x14ac:dyDescent="0.25">
      <c r="A338" s="462" t="s">
        <v>119</v>
      </c>
      <c r="B338" s="471" t="s">
        <v>1147</v>
      </c>
      <c r="C338" s="464">
        <v>0</v>
      </c>
      <c r="D338" s="464">
        <v>0</v>
      </c>
      <c r="E338" s="465">
        <v>0</v>
      </c>
      <c r="F338" s="464">
        <v>0</v>
      </c>
      <c r="G338" s="459">
        <v>0</v>
      </c>
      <c r="H338" s="460"/>
      <c r="W338" s="431">
        <v>8366</v>
      </c>
    </row>
    <row r="339" spans="1:23" ht="25.5" hidden="1" x14ac:dyDescent="0.25">
      <c r="A339" s="462" t="s">
        <v>1148</v>
      </c>
      <c r="B339" s="471" t="s">
        <v>1149</v>
      </c>
      <c r="C339" s="464">
        <v>0</v>
      </c>
      <c r="D339" s="464">
        <v>0</v>
      </c>
      <c r="E339" s="465">
        <v>0</v>
      </c>
      <c r="F339" s="464">
        <v>0</v>
      </c>
      <c r="G339" s="459">
        <v>0</v>
      </c>
      <c r="H339" s="460"/>
      <c r="W339" s="431">
        <v>8367</v>
      </c>
    </row>
    <row r="340" spans="1:23" ht="25.5" hidden="1" x14ac:dyDescent="0.25">
      <c r="A340" s="462" t="s">
        <v>1150</v>
      </c>
      <c r="B340" s="463" t="s">
        <v>1151</v>
      </c>
      <c r="C340" s="464">
        <v>0</v>
      </c>
      <c r="D340" s="464">
        <v>0</v>
      </c>
      <c r="E340" s="465">
        <v>0</v>
      </c>
      <c r="F340" s="464">
        <v>0</v>
      </c>
      <c r="G340" s="459">
        <v>0</v>
      </c>
      <c r="H340" s="460"/>
      <c r="W340" s="431">
        <v>8368</v>
      </c>
    </row>
    <row r="341" spans="1:23" hidden="1" x14ac:dyDescent="0.25">
      <c r="A341" s="462" t="s">
        <v>125</v>
      </c>
      <c r="B341" s="474" t="s">
        <v>1152</v>
      </c>
      <c r="C341" s="464">
        <v>0</v>
      </c>
      <c r="D341" s="464">
        <v>0</v>
      </c>
      <c r="E341" s="465">
        <v>0</v>
      </c>
      <c r="F341" s="464">
        <v>0</v>
      </c>
      <c r="G341" s="459">
        <v>0</v>
      </c>
      <c r="H341" s="460"/>
      <c r="W341" s="431">
        <v>8369</v>
      </c>
    </row>
    <row r="342" spans="1:23" hidden="1" x14ac:dyDescent="0.25">
      <c r="A342" s="462" t="s">
        <v>1153</v>
      </c>
      <c r="B342" s="474" t="s">
        <v>1154</v>
      </c>
      <c r="C342" s="464">
        <v>0</v>
      </c>
      <c r="D342" s="464">
        <v>0</v>
      </c>
      <c r="E342" s="465">
        <v>0</v>
      </c>
      <c r="F342" s="464">
        <v>0</v>
      </c>
      <c r="G342" s="459">
        <v>0</v>
      </c>
      <c r="H342" s="460"/>
      <c r="W342" s="431">
        <v>8370</v>
      </c>
    </row>
    <row r="343" spans="1:23" hidden="1" x14ac:dyDescent="0.25">
      <c r="A343" s="462" t="s">
        <v>1155</v>
      </c>
      <c r="B343" s="470" t="s">
        <v>1156</v>
      </c>
      <c r="C343" s="464">
        <v>0</v>
      </c>
      <c r="D343" s="464">
        <v>0</v>
      </c>
      <c r="E343" s="465">
        <v>0</v>
      </c>
      <c r="F343" s="464">
        <v>0</v>
      </c>
      <c r="G343" s="459">
        <v>0</v>
      </c>
      <c r="H343" s="460"/>
      <c r="W343" s="431">
        <v>8371</v>
      </c>
    </row>
    <row r="344" spans="1:23" hidden="1" x14ac:dyDescent="0.25">
      <c r="A344" s="462" t="s">
        <v>1157</v>
      </c>
      <c r="B344" s="470" t="s">
        <v>1158</v>
      </c>
      <c r="C344" s="464">
        <v>0</v>
      </c>
      <c r="D344" s="464">
        <v>0</v>
      </c>
      <c r="E344" s="465">
        <v>0</v>
      </c>
      <c r="F344" s="464">
        <v>0</v>
      </c>
      <c r="G344" s="459">
        <v>0</v>
      </c>
      <c r="H344" s="460"/>
      <c r="W344" s="431">
        <v>8372</v>
      </c>
    </row>
    <row r="345" spans="1:23" hidden="1" x14ac:dyDescent="0.25">
      <c r="A345" s="462" t="s">
        <v>1159</v>
      </c>
      <c r="B345" s="474" t="s">
        <v>1160</v>
      </c>
      <c r="C345" s="464">
        <v>0</v>
      </c>
      <c r="D345" s="464">
        <v>0</v>
      </c>
      <c r="E345" s="465">
        <v>0</v>
      </c>
      <c r="F345" s="464">
        <v>0</v>
      </c>
      <c r="G345" s="459">
        <v>0</v>
      </c>
      <c r="H345" s="460"/>
      <c r="W345" s="431">
        <v>8373</v>
      </c>
    </row>
    <row r="346" spans="1:23" ht="25.5" hidden="1" x14ac:dyDescent="0.25">
      <c r="A346" s="462" t="s">
        <v>130</v>
      </c>
      <c r="B346" s="474" t="s">
        <v>1161</v>
      </c>
      <c r="C346" s="464">
        <v>0</v>
      </c>
      <c r="D346" s="464">
        <v>0</v>
      </c>
      <c r="E346" s="465">
        <v>0</v>
      </c>
      <c r="F346" s="464">
        <v>0</v>
      </c>
      <c r="G346" s="459">
        <v>0</v>
      </c>
      <c r="H346" s="460"/>
      <c r="W346" s="431">
        <v>8377</v>
      </c>
    </row>
    <row r="347" spans="1:23" hidden="1" x14ac:dyDescent="0.25">
      <c r="A347" s="462" t="s">
        <v>1162</v>
      </c>
      <c r="B347" s="474" t="s">
        <v>1163</v>
      </c>
      <c r="C347" s="464">
        <v>0</v>
      </c>
      <c r="D347" s="464">
        <v>0</v>
      </c>
      <c r="E347" s="465">
        <v>0</v>
      </c>
      <c r="F347" s="464">
        <v>0</v>
      </c>
      <c r="G347" s="459">
        <v>0</v>
      </c>
      <c r="H347" s="460"/>
      <c r="W347" s="431">
        <v>8378</v>
      </c>
    </row>
    <row r="348" spans="1:23" hidden="1" x14ac:dyDescent="0.25">
      <c r="A348" s="462" t="s">
        <v>1164</v>
      </c>
      <c r="B348" s="474" t="s">
        <v>1165</v>
      </c>
      <c r="C348" s="464">
        <v>0</v>
      </c>
      <c r="D348" s="464">
        <v>0</v>
      </c>
      <c r="E348" s="465">
        <v>0</v>
      </c>
      <c r="F348" s="464">
        <v>0</v>
      </c>
      <c r="G348" s="459">
        <v>0</v>
      </c>
      <c r="H348" s="460"/>
      <c r="W348" s="431">
        <v>8379</v>
      </c>
    </row>
    <row r="349" spans="1:23" hidden="1" x14ac:dyDescent="0.25">
      <c r="A349" s="462" t="s">
        <v>1166</v>
      </c>
      <c r="B349" s="463" t="s">
        <v>1167</v>
      </c>
      <c r="C349" s="464">
        <v>0</v>
      </c>
      <c r="D349" s="464">
        <v>0</v>
      </c>
      <c r="E349" s="465">
        <v>0</v>
      </c>
      <c r="F349" s="464">
        <v>0</v>
      </c>
      <c r="G349" s="459">
        <v>0</v>
      </c>
      <c r="H349" s="460"/>
      <c r="W349" s="431">
        <v>8380</v>
      </c>
    </row>
    <row r="350" spans="1:23" ht="25.5" hidden="1" x14ac:dyDescent="0.25">
      <c r="A350" s="462" t="s">
        <v>1168</v>
      </c>
      <c r="B350" s="463" t="s">
        <v>1169</v>
      </c>
      <c r="C350" s="464">
        <v>0</v>
      </c>
      <c r="D350" s="464">
        <v>0</v>
      </c>
      <c r="E350" s="465">
        <v>0</v>
      </c>
      <c r="F350" s="464">
        <v>0</v>
      </c>
      <c r="G350" s="459">
        <v>0</v>
      </c>
      <c r="H350" s="460"/>
      <c r="W350" s="431">
        <v>8381</v>
      </c>
    </row>
    <row r="351" spans="1:23" hidden="1" x14ac:dyDescent="0.25">
      <c r="A351" s="462" t="s">
        <v>1170</v>
      </c>
      <c r="B351" s="474" t="s">
        <v>1171</v>
      </c>
      <c r="C351" s="464">
        <v>0</v>
      </c>
      <c r="D351" s="464">
        <v>0</v>
      </c>
      <c r="E351" s="465">
        <v>0</v>
      </c>
      <c r="F351" s="464">
        <v>0</v>
      </c>
      <c r="G351" s="459">
        <v>0</v>
      </c>
      <c r="H351" s="460"/>
      <c r="W351" s="431">
        <v>8382</v>
      </c>
    </row>
    <row r="352" spans="1:23" ht="25.5" hidden="1" x14ac:dyDescent="0.25">
      <c r="A352" s="462" t="s">
        <v>1172</v>
      </c>
      <c r="B352" s="474" t="s">
        <v>1173</v>
      </c>
      <c r="C352" s="464">
        <v>0</v>
      </c>
      <c r="D352" s="464">
        <v>0</v>
      </c>
      <c r="E352" s="465">
        <v>0</v>
      </c>
      <c r="F352" s="464">
        <v>0</v>
      </c>
      <c r="G352" s="459">
        <v>0</v>
      </c>
      <c r="H352" s="460"/>
      <c r="W352" s="431">
        <v>8383</v>
      </c>
    </row>
    <row r="353" spans="1:23" hidden="1" x14ac:dyDescent="0.25">
      <c r="A353" s="462" t="s">
        <v>1174</v>
      </c>
      <c r="B353" s="470" t="s">
        <v>1175</v>
      </c>
      <c r="C353" s="464">
        <v>0</v>
      </c>
      <c r="D353" s="464">
        <v>0</v>
      </c>
      <c r="E353" s="465">
        <v>0</v>
      </c>
      <c r="F353" s="464">
        <v>0</v>
      </c>
      <c r="G353" s="459">
        <v>0</v>
      </c>
      <c r="H353" s="460"/>
      <c r="W353" s="431">
        <v>8384</v>
      </c>
    </row>
    <row r="354" spans="1:23" hidden="1" x14ac:dyDescent="0.25">
      <c r="A354" s="462" t="s">
        <v>1176</v>
      </c>
      <c r="B354" s="470" t="s">
        <v>736</v>
      </c>
      <c r="C354" s="464">
        <v>0</v>
      </c>
      <c r="D354" s="464">
        <v>0</v>
      </c>
      <c r="E354" s="465">
        <v>0</v>
      </c>
      <c r="F354" s="464">
        <v>0</v>
      </c>
      <c r="G354" s="459">
        <v>0</v>
      </c>
      <c r="H354" s="460"/>
      <c r="W354" s="431">
        <v>8385</v>
      </c>
    </row>
    <row r="355" spans="1:23" hidden="1" x14ac:dyDescent="0.25">
      <c r="A355" s="462" t="s">
        <v>1177</v>
      </c>
      <c r="B355" s="470" t="s">
        <v>1178</v>
      </c>
      <c r="C355" s="464">
        <v>0</v>
      </c>
      <c r="D355" s="464">
        <v>0</v>
      </c>
      <c r="E355" s="465">
        <v>0</v>
      </c>
      <c r="F355" s="464">
        <v>0</v>
      </c>
      <c r="G355" s="459">
        <v>0</v>
      </c>
      <c r="H355" s="460"/>
      <c r="W355" s="431">
        <v>8386</v>
      </c>
    </row>
    <row r="356" spans="1:23" ht="25.5" hidden="1" x14ac:dyDescent="0.25">
      <c r="A356" s="462" t="s">
        <v>1179</v>
      </c>
      <c r="B356" s="470" t="s">
        <v>1180</v>
      </c>
      <c r="C356" s="464">
        <v>0</v>
      </c>
      <c r="D356" s="464">
        <v>0</v>
      </c>
      <c r="E356" s="465">
        <v>0</v>
      </c>
      <c r="F356" s="464">
        <v>0</v>
      </c>
      <c r="G356" s="459">
        <v>0</v>
      </c>
      <c r="H356" s="460"/>
      <c r="W356" s="431">
        <v>8387</v>
      </c>
    </row>
    <row r="357" spans="1:23" ht="25.5" hidden="1" x14ac:dyDescent="0.25">
      <c r="A357" s="462" t="s">
        <v>1181</v>
      </c>
      <c r="B357" s="474" t="s">
        <v>1182</v>
      </c>
      <c r="C357" s="464">
        <v>0</v>
      </c>
      <c r="D357" s="464">
        <v>0</v>
      </c>
      <c r="E357" s="465">
        <v>0</v>
      </c>
      <c r="F357" s="464">
        <v>0</v>
      </c>
      <c r="G357" s="459">
        <v>0</v>
      </c>
      <c r="H357" s="460"/>
      <c r="W357" s="431">
        <v>8388</v>
      </c>
    </row>
    <row r="358" spans="1:23" ht="25.5" hidden="1" x14ac:dyDescent="0.25">
      <c r="A358" s="462" t="s">
        <v>1183</v>
      </c>
      <c r="B358" s="474" t="s">
        <v>1184</v>
      </c>
      <c r="C358" s="464">
        <v>0</v>
      </c>
      <c r="D358" s="464">
        <v>0</v>
      </c>
      <c r="E358" s="465">
        <v>0</v>
      </c>
      <c r="F358" s="464">
        <v>0</v>
      </c>
      <c r="G358" s="459">
        <v>0</v>
      </c>
      <c r="H358" s="460"/>
      <c r="W358" s="431">
        <v>8389</v>
      </c>
    </row>
    <row r="359" spans="1:23" ht="25.5" hidden="1" x14ac:dyDescent="0.25">
      <c r="A359" s="462" t="s">
        <v>1185</v>
      </c>
      <c r="B359" s="474" t="s">
        <v>1186</v>
      </c>
      <c r="C359" s="464">
        <v>0</v>
      </c>
      <c r="D359" s="464">
        <v>0</v>
      </c>
      <c r="E359" s="465">
        <v>0</v>
      </c>
      <c r="F359" s="464">
        <v>0</v>
      </c>
      <c r="G359" s="459">
        <v>0</v>
      </c>
      <c r="H359" s="460"/>
      <c r="W359" s="431">
        <v>8390</v>
      </c>
    </row>
    <row r="360" spans="1:23" hidden="1" x14ac:dyDescent="0.25">
      <c r="A360" s="462" t="s">
        <v>1187</v>
      </c>
      <c r="B360" s="474" t="s">
        <v>1188</v>
      </c>
      <c r="C360" s="464">
        <v>0</v>
      </c>
      <c r="D360" s="464">
        <v>0</v>
      </c>
      <c r="E360" s="465">
        <v>0</v>
      </c>
      <c r="F360" s="464">
        <v>0</v>
      </c>
      <c r="G360" s="459">
        <v>0</v>
      </c>
      <c r="H360" s="460"/>
      <c r="W360" s="431">
        <v>8391</v>
      </c>
    </row>
    <row r="361" spans="1:23" ht="51" hidden="1" x14ac:dyDescent="0.25">
      <c r="A361" s="462" t="s">
        <v>1189</v>
      </c>
      <c r="B361" s="474" t="s">
        <v>1190</v>
      </c>
      <c r="C361" s="464">
        <v>0</v>
      </c>
      <c r="D361" s="464">
        <v>0</v>
      </c>
      <c r="E361" s="465">
        <v>0</v>
      </c>
      <c r="F361" s="464">
        <v>0</v>
      </c>
      <c r="G361" s="459">
        <v>0</v>
      </c>
      <c r="H361" s="460"/>
      <c r="W361" s="431">
        <v>8392</v>
      </c>
    </row>
    <row r="362" spans="1:23" ht="25.5" hidden="1" x14ac:dyDescent="0.25">
      <c r="A362" s="462" t="s">
        <v>1191</v>
      </c>
      <c r="B362" s="474" t="s">
        <v>1192</v>
      </c>
      <c r="C362" s="464">
        <v>0</v>
      </c>
      <c r="D362" s="464">
        <v>0</v>
      </c>
      <c r="E362" s="465">
        <v>0</v>
      </c>
      <c r="F362" s="464">
        <v>0</v>
      </c>
      <c r="G362" s="459">
        <v>0</v>
      </c>
      <c r="H362" s="460"/>
      <c r="W362" s="431">
        <v>8393</v>
      </c>
    </row>
    <row r="363" spans="1:23" hidden="1" x14ac:dyDescent="0.25">
      <c r="A363" s="462" t="s">
        <v>1193</v>
      </c>
      <c r="B363" s="474" t="s">
        <v>1194</v>
      </c>
      <c r="C363" s="464">
        <v>0</v>
      </c>
      <c r="D363" s="464">
        <v>0</v>
      </c>
      <c r="E363" s="465">
        <v>0</v>
      </c>
      <c r="F363" s="464">
        <v>0</v>
      </c>
      <c r="G363" s="459">
        <v>0</v>
      </c>
      <c r="H363" s="460"/>
      <c r="W363" s="431">
        <v>8394</v>
      </c>
    </row>
    <row r="364" spans="1:23" ht="25.5" hidden="1" x14ac:dyDescent="0.25">
      <c r="A364" s="462" t="s">
        <v>1195</v>
      </c>
      <c r="B364" s="463" t="s">
        <v>1196</v>
      </c>
      <c r="C364" s="464">
        <v>0</v>
      </c>
      <c r="D364" s="464">
        <v>0</v>
      </c>
      <c r="E364" s="465">
        <v>0</v>
      </c>
      <c r="F364" s="464">
        <v>0</v>
      </c>
      <c r="G364" s="459">
        <v>0</v>
      </c>
      <c r="H364" s="460"/>
      <c r="W364" s="431">
        <v>8395</v>
      </c>
    </row>
    <row r="365" spans="1:23" ht="25.5" hidden="1" x14ac:dyDescent="0.25">
      <c r="A365" s="462" t="s">
        <v>1197</v>
      </c>
      <c r="B365" s="474" t="s">
        <v>1198</v>
      </c>
      <c r="C365" s="464">
        <v>0</v>
      </c>
      <c r="D365" s="464">
        <v>0</v>
      </c>
      <c r="E365" s="465">
        <v>0</v>
      </c>
      <c r="F365" s="464">
        <v>0</v>
      </c>
      <c r="G365" s="459">
        <v>0</v>
      </c>
      <c r="H365" s="460"/>
      <c r="W365" s="431">
        <v>8396</v>
      </c>
    </row>
    <row r="366" spans="1:23" ht="25.5" hidden="1" x14ac:dyDescent="0.25">
      <c r="A366" s="462" t="s">
        <v>1199</v>
      </c>
      <c r="B366" s="474" t="s">
        <v>1200</v>
      </c>
      <c r="C366" s="464">
        <v>0</v>
      </c>
      <c r="D366" s="464">
        <v>0</v>
      </c>
      <c r="E366" s="465">
        <v>0</v>
      </c>
      <c r="F366" s="464">
        <v>0</v>
      </c>
      <c r="G366" s="459">
        <v>0</v>
      </c>
      <c r="H366" s="460"/>
      <c r="W366" s="431">
        <v>8397</v>
      </c>
    </row>
    <row r="367" spans="1:23" hidden="1" x14ac:dyDescent="0.25">
      <c r="A367" s="462" t="s">
        <v>1201</v>
      </c>
      <c r="B367" s="474" t="s">
        <v>1194</v>
      </c>
      <c r="C367" s="464">
        <v>0</v>
      </c>
      <c r="D367" s="464">
        <v>0</v>
      </c>
      <c r="E367" s="465">
        <v>0</v>
      </c>
      <c r="F367" s="464">
        <v>0</v>
      </c>
      <c r="G367" s="459">
        <v>0</v>
      </c>
      <c r="H367" s="460"/>
      <c r="W367" s="431">
        <v>8398</v>
      </c>
    </row>
    <row r="368" spans="1:23" s="469" customFormat="1" hidden="1" x14ac:dyDescent="0.25">
      <c r="A368" s="455" t="s">
        <v>1202</v>
      </c>
      <c r="B368" s="461" t="s">
        <v>1203</v>
      </c>
      <c r="C368" s="457">
        <v>0</v>
      </c>
      <c r="D368" s="457">
        <v>0</v>
      </c>
      <c r="E368" s="458">
        <v>0</v>
      </c>
      <c r="F368" s="457">
        <v>0</v>
      </c>
      <c r="G368" s="467">
        <v>0</v>
      </c>
      <c r="H368" s="468"/>
      <c r="W368" s="469">
        <v>8399</v>
      </c>
    </row>
    <row r="369" spans="1:23" ht="25.5" hidden="1" x14ac:dyDescent="0.25">
      <c r="A369" s="462" t="s">
        <v>1204</v>
      </c>
      <c r="B369" s="463" t="s">
        <v>1205</v>
      </c>
      <c r="C369" s="464">
        <v>0</v>
      </c>
      <c r="D369" s="464">
        <v>0</v>
      </c>
      <c r="E369" s="465">
        <v>0</v>
      </c>
      <c r="F369" s="464">
        <v>0</v>
      </c>
      <c r="G369" s="459">
        <v>0</v>
      </c>
      <c r="H369" s="460"/>
      <c r="W369" s="431">
        <v>8400</v>
      </c>
    </row>
    <row r="370" spans="1:23" ht="38.25" hidden="1" x14ac:dyDescent="0.25">
      <c r="A370" s="462" t="s">
        <v>1206</v>
      </c>
      <c r="B370" s="474" t="s">
        <v>1207</v>
      </c>
      <c r="C370" s="464">
        <v>0</v>
      </c>
      <c r="D370" s="464">
        <v>0</v>
      </c>
      <c r="E370" s="465">
        <v>0</v>
      </c>
      <c r="F370" s="464">
        <v>0</v>
      </c>
      <c r="G370" s="459">
        <v>0</v>
      </c>
      <c r="H370" s="460"/>
      <c r="W370" s="431">
        <v>8401</v>
      </c>
    </row>
    <row r="371" spans="1:23" ht="38.25" hidden="1" x14ac:dyDescent="0.25">
      <c r="A371" s="462" t="s">
        <v>1208</v>
      </c>
      <c r="B371" s="474" t="s">
        <v>1209</v>
      </c>
      <c r="C371" s="464">
        <v>0</v>
      </c>
      <c r="D371" s="464">
        <v>0</v>
      </c>
      <c r="E371" s="465">
        <v>0</v>
      </c>
      <c r="F371" s="464">
        <v>0</v>
      </c>
      <c r="G371" s="459">
        <v>0</v>
      </c>
      <c r="H371" s="460"/>
      <c r="W371" s="431">
        <v>8402</v>
      </c>
    </row>
    <row r="372" spans="1:23" ht="25.5" hidden="1" x14ac:dyDescent="0.25">
      <c r="A372" s="462" t="s">
        <v>1210</v>
      </c>
      <c r="B372" s="474" t="s">
        <v>1211</v>
      </c>
      <c r="C372" s="464">
        <v>0</v>
      </c>
      <c r="D372" s="464">
        <v>0</v>
      </c>
      <c r="E372" s="465">
        <v>0</v>
      </c>
      <c r="F372" s="464">
        <v>0</v>
      </c>
      <c r="G372" s="459">
        <v>0</v>
      </c>
      <c r="H372" s="460"/>
      <c r="W372" s="431">
        <v>8403</v>
      </c>
    </row>
    <row r="373" spans="1:23" hidden="1" x14ac:dyDescent="0.25">
      <c r="A373" s="462" t="s">
        <v>235</v>
      </c>
      <c r="B373" s="474" t="s">
        <v>1212</v>
      </c>
      <c r="C373" s="464">
        <v>0</v>
      </c>
      <c r="D373" s="464">
        <v>0</v>
      </c>
      <c r="E373" s="465">
        <v>0</v>
      </c>
      <c r="F373" s="464">
        <v>0</v>
      </c>
      <c r="G373" s="459">
        <v>0</v>
      </c>
      <c r="H373" s="460"/>
      <c r="W373" s="431">
        <v>8404</v>
      </c>
    </row>
    <row r="374" spans="1:23" hidden="1" x14ac:dyDescent="0.25">
      <c r="A374" s="462" t="s">
        <v>238</v>
      </c>
      <c r="B374" s="470" t="s">
        <v>1213</v>
      </c>
      <c r="C374" s="464">
        <v>0</v>
      </c>
      <c r="D374" s="464">
        <v>0</v>
      </c>
      <c r="E374" s="465">
        <v>0</v>
      </c>
      <c r="F374" s="464">
        <v>0</v>
      </c>
      <c r="G374" s="459">
        <v>0</v>
      </c>
      <c r="H374" s="460"/>
      <c r="W374" s="431">
        <v>8405</v>
      </c>
    </row>
    <row r="375" spans="1:23" hidden="1" x14ac:dyDescent="0.25">
      <c r="A375" s="462" t="s">
        <v>241</v>
      </c>
      <c r="B375" s="470" t="s">
        <v>1214</v>
      </c>
      <c r="C375" s="464">
        <v>0</v>
      </c>
      <c r="D375" s="464">
        <v>0</v>
      </c>
      <c r="E375" s="465">
        <v>0</v>
      </c>
      <c r="F375" s="464">
        <v>0</v>
      </c>
      <c r="G375" s="459">
        <v>0</v>
      </c>
      <c r="H375" s="460"/>
      <c r="W375" s="431">
        <v>8406</v>
      </c>
    </row>
    <row r="376" spans="1:23" hidden="1" x14ac:dyDescent="0.25">
      <c r="A376" s="462" t="s">
        <v>244</v>
      </c>
      <c r="B376" s="470" t="s">
        <v>1215</v>
      </c>
      <c r="C376" s="464">
        <v>0</v>
      </c>
      <c r="D376" s="464">
        <v>0</v>
      </c>
      <c r="E376" s="465">
        <v>0</v>
      </c>
      <c r="F376" s="464">
        <v>0</v>
      </c>
      <c r="G376" s="459">
        <v>0</v>
      </c>
      <c r="H376" s="460"/>
      <c r="W376" s="431">
        <v>8407</v>
      </c>
    </row>
    <row r="377" spans="1:23" hidden="1" x14ac:dyDescent="0.25">
      <c r="A377" s="462" t="s">
        <v>1216</v>
      </c>
      <c r="B377" s="474" t="s">
        <v>1217</v>
      </c>
      <c r="C377" s="464">
        <v>0</v>
      </c>
      <c r="D377" s="464">
        <v>0</v>
      </c>
      <c r="E377" s="465">
        <v>0</v>
      </c>
      <c r="F377" s="464">
        <v>0</v>
      </c>
      <c r="G377" s="459">
        <v>0</v>
      </c>
      <c r="H377" s="460"/>
      <c r="W377" s="431">
        <v>8408</v>
      </c>
    </row>
    <row r="378" spans="1:23" ht="25.5" hidden="1" x14ac:dyDescent="0.25">
      <c r="A378" s="462" t="s">
        <v>1218</v>
      </c>
      <c r="B378" s="474" t="s">
        <v>1219</v>
      </c>
      <c r="C378" s="464">
        <v>0</v>
      </c>
      <c r="D378" s="464">
        <v>0</v>
      </c>
      <c r="E378" s="465">
        <v>0</v>
      </c>
      <c r="F378" s="464">
        <v>0</v>
      </c>
      <c r="G378" s="459">
        <v>0</v>
      </c>
      <c r="H378" s="460"/>
      <c r="W378" s="431">
        <v>8409</v>
      </c>
    </row>
    <row r="379" spans="1:23" hidden="1" x14ac:dyDescent="0.25">
      <c r="A379" s="462" t="s">
        <v>1220</v>
      </c>
      <c r="B379" s="470" t="s">
        <v>1221</v>
      </c>
      <c r="C379" s="464">
        <v>0</v>
      </c>
      <c r="D379" s="464">
        <v>0</v>
      </c>
      <c r="E379" s="465">
        <v>0</v>
      </c>
      <c r="F379" s="464">
        <v>0</v>
      </c>
      <c r="G379" s="459">
        <v>0</v>
      </c>
      <c r="H379" s="460"/>
      <c r="W379" s="431">
        <v>8410</v>
      </c>
    </row>
    <row r="380" spans="1:23" ht="25.5" hidden="1" x14ac:dyDescent="0.25">
      <c r="A380" s="462" t="s">
        <v>1222</v>
      </c>
      <c r="B380" s="470" t="s">
        <v>1223</v>
      </c>
      <c r="C380" s="464">
        <v>0</v>
      </c>
      <c r="D380" s="464">
        <v>0</v>
      </c>
      <c r="E380" s="465">
        <v>0</v>
      </c>
      <c r="F380" s="464">
        <v>0</v>
      </c>
      <c r="G380" s="459">
        <v>0</v>
      </c>
      <c r="H380" s="460"/>
      <c r="W380" s="431">
        <v>8411</v>
      </c>
    </row>
    <row r="381" spans="1:23" hidden="1" x14ac:dyDescent="0.25">
      <c r="A381" s="462" t="s">
        <v>247</v>
      </c>
      <c r="B381" s="474" t="s">
        <v>1224</v>
      </c>
      <c r="C381" s="464">
        <v>0</v>
      </c>
      <c r="D381" s="464">
        <v>0</v>
      </c>
      <c r="E381" s="465">
        <v>0</v>
      </c>
      <c r="F381" s="464">
        <v>0</v>
      </c>
      <c r="G381" s="459">
        <v>0</v>
      </c>
      <c r="H381" s="460"/>
      <c r="W381" s="431">
        <v>8412</v>
      </c>
    </row>
    <row r="382" spans="1:23" hidden="1" x14ac:dyDescent="0.25">
      <c r="A382" s="462" t="s">
        <v>250</v>
      </c>
      <c r="B382" s="470" t="s">
        <v>1225</v>
      </c>
      <c r="C382" s="464">
        <v>0</v>
      </c>
      <c r="D382" s="464">
        <v>0</v>
      </c>
      <c r="E382" s="465">
        <v>0</v>
      </c>
      <c r="F382" s="464">
        <v>0</v>
      </c>
      <c r="G382" s="459">
        <v>0</v>
      </c>
      <c r="H382" s="460"/>
      <c r="W382" s="431">
        <v>8413</v>
      </c>
    </row>
    <row r="383" spans="1:23" hidden="1" x14ac:dyDescent="0.25">
      <c r="A383" s="462" t="s">
        <v>1226</v>
      </c>
      <c r="B383" s="470" t="s">
        <v>1227</v>
      </c>
      <c r="C383" s="464">
        <v>0</v>
      </c>
      <c r="D383" s="464">
        <v>0</v>
      </c>
      <c r="E383" s="465">
        <v>0</v>
      </c>
      <c r="F383" s="464">
        <v>0</v>
      </c>
      <c r="G383" s="459">
        <v>0</v>
      </c>
      <c r="H383" s="460"/>
      <c r="W383" s="431">
        <v>8414</v>
      </c>
    </row>
    <row r="384" spans="1:23" hidden="1" x14ac:dyDescent="0.25">
      <c r="A384" s="462" t="s">
        <v>1228</v>
      </c>
      <c r="B384" s="470" t="s">
        <v>1229</v>
      </c>
      <c r="C384" s="464">
        <v>0</v>
      </c>
      <c r="D384" s="464">
        <v>0</v>
      </c>
      <c r="E384" s="465">
        <v>0</v>
      </c>
      <c r="F384" s="464">
        <v>0</v>
      </c>
      <c r="G384" s="459">
        <v>0</v>
      </c>
      <c r="H384" s="460"/>
      <c r="W384" s="431">
        <v>8415</v>
      </c>
    </row>
    <row r="385" spans="1:23" hidden="1" x14ac:dyDescent="0.25">
      <c r="A385" s="462" t="s">
        <v>253</v>
      </c>
      <c r="B385" s="470" t="s">
        <v>1230</v>
      </c>
      <c r="C385" s="464">
        <v>0</v>
      </c>
      <c r="D385" s="464">
        <v>0</v>
      </c>
      <c r="E385" s="465">
        <v>0</v>
      </c>
      <c r="F385" s="464">
        <v>0</v>
      </c>
      <c r="G385" s="459">
        <v>0</v>
      </c>
      <c r="H385" s="460"/>
      <c r="W385" s="431">
        <v>8416</v>
      </c>
    </row>
    <row r="386" spans="1:23" hidden="1" x14ac:dyDescent="0.25">
      <c r="A386" s="462" t="s">
        <v>256</v>
      </c>
      <c r="B386" s="470" t="s">
        <v>1231</v>
      </c>
      <c r="C386" s="464">
        <v>0</v>
      </c>
      <c r="D386" s="464">
        <v>0</v>
      </c>
      <c r="E386" s="465">
        <v>0</v>
      </c>
      <c r="F386" s="464">
        <v>0</v>
      </c>
      <c r="G386" s="459">
        <v>0</v>
      </c>
      <c r="H386" s="460"/>
      <c r="W386" s="431">
        <v>8417</v>
      </c>
    </row>
    <row r="387" spans="1:23" hidden="1" x14ac:dyDescent="0.25">
      <c r="A387" s="462" t="s">
        <v>259</v>
      </c>
      <c r="B387" s="474" t="s">
        <v>1232</v>
      </c>
      <c r="C387" s="464">
        <v>0</v>
      </c>
      <c r="D387" s="464">
        <v>0</v>
      </c>
      <c r="E387" s="465">
        <v>0</v>
      </c>
      <c r="F387" s="464">
        <v>0</v>
      </c>
      <c r="G387" s="459">
        <v>0</v>
      </c>
      <c r="H387" s="460"/>
      <c r="W387" s="431">
        <v>8418</v>
      </c>
    </row>
    <row r="388" spans="1:23" ht="25.5" hidden="1" x14ac:dyDescent="0.25">
      <c r="A388" s="462" t="s">
        <v>1233</v>
      </c>
      <c r="B388" s="470" t="s">
        <v>1234</v>
      </c>
      <c r="C388" s="464">
        <v>0</v>
      </c>
      <c r="D388" s="464">
        <v>0</v>
      </c>
      <c r="E388" s="465">
        <v>0</v>
      </c>
      <c r="F388" s="464">
        <v>0</v>
      </c>
      <c r="G388" s="459">
        <v>0</v>
      </c>
      <c r="H388" s="460"/>
      <c r="W388" s="431">
        <v>8419</v>
      </c>
    </row>
    <row r="389" spans="1:23" ht="25.5" hidden="1" x14ac:dyDescent="0.25">
      <c r="A389" s="462" t="s">
        <v>1235</v>
      </c>
      <c r="B389" s="470" t="s">
        <v>1236</v>
      </c>
      <c r="C389" s="464">
        <v>0</v>
      </c>
      <c r="D389" s="464">
        <v>0</v>
      </c>
      <c r="E389" s="465">
        <v>0</v>
      </c>
      <c r="F389" s="464">
        <v>0</v>
      </c>
      <c r="G389" s="459">
        <v>0</v>
      </c>
      <c r="H389" s="460"/>
      <c r="W389" s="431">
        <v>8420</v>
      </c>
    </row>
    <row r="390" spans="1:23" hidden="1" x14ac:dyDescent="0.25">
      <c r="A390" s="462" t="s">
        <v>1237</v>
      </c>
      <c r="B390" s="470" t="s">
        <v>1238</v>
      </c>
      <c r="C390" s="464">
        <v>0</v>
      </c>
      <c r="D390" s="464">
        <v>0</v>
      </c>
      <c r="E390" s="465">
        <v>0</v>
      </c>
      <c r="F390" s="464">
        <v>0</v>
      </c>
      <c r="G390" s="459">
        <v>0</v>
      </c>
      <c r="H390" s="460"/>
      <c r="W390" s="431">
        <v>8421</v>
      </c>
    </row>
    <row r="391" spans="1:23" hidden="1" x14ac:dyDescent="0.25">
      <c r="A391" s="462" t="s">
        <v>1239</v>
      </c>
      <c r="B391" s="470" t="s">
        <v>1240</v>
      </c>
      <c r="C391" s="464">
        <v>0</v>
      </c>
      <c r="D391" s="464">
        <v>0</v>
      </c>
      <c r="E391" s="465">
        <v>0</v>
      </c>
      <c r="F391" s="464">
        <v>0</v>
      </c>
      <c r="G391" s="459">
        <v>0</v>
      </c>
      <c r="H391" s="460"/>
      <c r="W391" s="431">
        <v>8422</v>
      </c>
    </row>
    <row r="392" spans="1:23" hidden="1" x14ac:dyDescent="0.25">
      <c r="A392" s="462" t="s">
        <v>1241</v>
      </c>
      <c r="B392" s="470" t="s">
        <v>1242</v>
      </c>
      <c r="C392" s="464">
        <v>0</v>
      </c>
      <c r="D392" s="464">
        <v>0</v>
      </c>
      <c r="E392" s="465">
        <v>0</v>
      </c>
      <c r="F392" s="464">
        <v>0</v>
      </c>
      <c r="G392" s="459">
        <v>0</v>
      </c>
      <c r="H392" s="460"/>
      <c r="W392" s="431">
        <v>8423</v>
      </c>
    </row>
    <row r="393" spans="1:23" hidden="1" x14ac:dyDescent="0.25">
      <c r="A393" s="462" t="s">
        <v>1243</v>
      </c>
      <c r="B393" s="470" t="s">
        <v>1244</v>
      </c>
      <c r="C393" s="464">
        <v>0</v>
      </c>
      <c r="D393" s="464">
        <v>0</v>
      </c>
      <c r="E393" s="465">
        <v>0</v>
      </c>
      <c r="F393" s="464">
        <v>0</v>
      </c>
      <c r="G393" s="459">
        <v>0</v>
      </c>
      <c r="H393" s="460"/>
      <c r="W393" s="431">
        <v>8424</v>
      </c>
    </row>
    <row r="394" spans="1:23" ht="38.25" hidden="1" x14ac:dyDescent="0.25">
      <c r="A394" s="462" t="s">
        <v>1245</v>
      </c>
      <c r="B394" s="470" t="s">
        <v>1246</v>
      </c>
      <c r="C394" s="464">
        <v>0</v>
      </c>
      <c r="D394" s="464">
        <v>0</v>
      </c>
      <c r="E394" s="465">
        <v>0</v>
      </c>
      <c r="F394" s="464">
        <v>0</v>
      </c>
      <c r="G394" s="459">
        <v>0</v>
      </c>
      <c r="H394" s="460"/>
      <c r="W394" s="431">
        <v>8425</v>
      </c>
    </row>
    <row r="395" spans="1:23" hidden="1" x14ac:dyDescent="0.25">
      <c r="A395" s="462" t="s">
        <v>1247</v>
      </c>
      <c r="B395" s="470" t="s">
        <v>1248</v>
      </c>
      <c r="C395" s="464">
        <v>0</v>
      </c>
      <c r="D395" s="464">
        <v>0</v>
      </c>
      <c r="E395" s="465">
        <v>0</v>
      </c>
      <c r="F395" s="464">
        <v>0</v>
      </c>
      <c r="G395" s="459">
        <v>0</v>
      </c>
      <c r="H395" s="460"/>
      <c r="W395" s="431">
        <v>8426</v>
      </c>
    </row>
    <row r="396" spans="1:23" ht="38.25" hidden="1" x14ac:dyDescent="0.25">
      <c r="A396" s="462" t="s">
        <v>1249</v>
      </c>
      <c r="B396" s="463" t="s">
        <v>1250</v>
      </c>
      <c r="C396" s="464">
        <v>0</v>
      </c>
      <c r="D396" s="464">
        <v>0</v>
      </c>
      <c r="E396" s="465">
        <v>0</v>
      </c>
      <c r="F396" s="464">
        <v>0</v>
      </c>
      <c r="G396" s="459">
        <v>0</v>
      </c>
      <c r="H396" s="460"/>
      <c r="W396" s="431">
        <v>8427</v>
      </c>
    </row>
    <row r="397" spans="1:23" ht="38.25" hidden="1" x14ac:dyDescent="0.25">
      <c r="A397" s="462" t="s">
        <v>1251</v>
      </c>
      <c r="B397" s="474" t="s">
        <v>1252</v>
      </c>
      <c r="C397" s="464">
        <v>0</v>
      </c>
      <c r="D397" s="464">
        <v>0</v>
      </c>
      <c r="E397" s="465">
        <v>0</v>
      </c>
      <c r="F397" s="464">
        <v>0</v>
      </c>
      <c r="G397" s="459">
        <v>0</v>
      </c>
      <c r="H397" s="460"/>
      <c r="W397" s="431">
        <v>8428</v>
      </c>
    </row>
    <row r="398" spans="1:23" hidden="1" x14ac:dyDescent="0.25">
      <c r="A398" s="462" t="s">
        <v>1253</v>
      </c>
      <c r="B398" s="470" t="s">
        <v>1254</v>
      </c>
      <c r="C398" s="464">
        <v>0</v>
      </c>
      <c r="D398" s="464">
        <v>0</v>
      </c>
      <c r="E398" s="465">
        <v>0</v>
      </c>
      <c r="F398" s="464">
        <v>0</v>
      </c>
      <c r="G398" s="459">
        <v>0</v>
      </c>
      <c r="H398" s="460"/>
      <c r="W398" s="431">
        <v>8429</v>
      </c>
    </row>
    <row r="399" spans="1:23" ht="25.5" hidden="1" x14ac:dyDescent="0.25">
      <c r="A399" s="462" t="s">
        <v>1255</v>
      </c>
      <c r="B399" s="470" t="s">
        <v>1256</v>
      </c>
      <c r="C399" s="464">
        <v>0</v>
      </c>
      <c r="D399" s="464">
        <v>0</v>
      </c>
      <c r="E399" s="465">
        <v>0</v>
      </c>
      <c r="F399" s="464">
        <v>0</v>
      </c>
      <c r="G399" s="459">
        <v>0</v>
      </c>
      <c r="H399" s="460"/>
      <c r="W399" s="431">
        <v>8430</v>
      </c>
    </row>
    <row r="400" spans="1:23" hidden="1" x14ac:dyDescent="0.25">
      <c r="A400" s="462" t="s">
        <v>1257</v>
      </c>
      <c r="B400" s="470" t="s">
        <v>1258</v>
      </c>
      <c r="C400" s="464">
        <v>0</v>
      </c>
      <c r="D400" s="464">
        <v>0</v>
      </c>
      <c r="E400" s="465">
        <v>0</v>
      </c>
      <c r="F400" s="464">
        <v>0</v>
      </c>
      <c r="G400" s="459">
        <v>0</v>
      </c>
      <c r="H400" s="460"/>
      <c r="W400" s="431">
        <v>8431</v>
      </c>
    </row>
    <row r="401" spans="1:23" hidden="1" x14ac:dyDescent="0.25">
      <c r="A401" s="462" t="s">
        <v>1259</v>
      </c>
      <c r="B401" s="474" t="s">
        <v>1260</v>
      </c>
      <c r="C401" s="464">
        <v>0</v>
      </c>
      <c r="D401" s="464">
        <v>0</v>
      </c>
      <c r="E401" s="465">
        <v>0</v>
      </c>
      <c r="F401" s="464">
        <v>0</v>
      </c>
      <c r="G401" s="459">
        <v>0</v>
      </c>
      <c r="H401" s="460"/>
      <c r="W401" s="431">
        <v>8432</v>
      </c>
    </row>
    <row r="402" spans="1:23" ht="25.5" hidden="1" x14ac:dyDescent="0.25">
      <c r="A402" s="462" t="s">
        <v>1261</v>
      </c>
      <c r="B402" s="470" t="s">
        <v>1262</v>
      </c>
      <c r="C402" s="464">
        <v>0</v>
      </c>
      <c r="D402" s="464">
        <v>0</v>
      </c>
      <c r="E402" s="465">
        <v>0</v>
      </c>
      <c r="F402" s="464">
        <v>0</v>
      </c>
      <c r="G402" s="459">
        <v>0</v>
      </c>
      <c r="H402" s="460"/>
      <c r="W402" s="431">
        <v>8433</v>
      </c>
    </row>
    <row r="403" spans="1:23" ht="25.5" hidden="1" x14ac:dyDescent="0.25">
      <c r="A403" s="462" t="s">
        <v>1263</v>
      </c>
      <c r="B403" s="470" t="s">
        <v>1264</v>
      </c>
      <c r="C403" s="464">
        <v>0</v>
      </c>
      <c r="D403" s="464">
        <v>0</v>
      </c>
      <c r="E403" s="465">
        <v>0</v>
      </c>
      <c r="F403" s="464">
        <v>0</v>
      </c>
      <c r="G403" s="459">
        <v>0</v>
      </c>
      <c r="H403" s="460"/>
      <c r="W403" s="431">
        <v>8434</v>
      </c>
    </row>
    <row r="404" spans="1:23" ht="25.5" hidden="1" x14ac:dyDescent="0.25">
      <c r="A404" s="462" t="s">
        <v>1265</v>
      </c>
      <c r="B404" s="470" t="s">
        <v>1266</v>
      </c>
      <c r="C404" s="464">
        <v>0</v>
      </c>
      <c r="D404" s="464">
        <v>0</v>
      </c>
      <c r="E404" s="465">
        <v>0</v>
      </c>
      <c r="F404" s="464">
        <v>0</v>
      </c>
      <c r="G404" s="459">
        <v>0</v>
      </c>
      <c r="H404" s="460"/>
      <c r="W404" s="431">
        <v>8435</v>
      </c>
    </row>
    <row r="405" spans="1:23" ht="25.5" hidden="1" x14ac:dyDescent="0.25">
      <c r="A405" s="462" t="s">
        <v>1267</v>
      </c>
      <c r="B405" s="470" t="s">
        <v>1268</v>
      </c>
      <c r="C405" s="464">
        <v>0</v>
      </c>
      <c r="D405" s="464">
        <v>0</v>
      </c>
      <c r="E405" s="465">
        <v>0</v>
      </c>
      <c r="F405" s="464">
        <v>0</v>
      </c>
      <c r="G405" s="459">
        <v>0</v>
      </c>
      <c r="H405" s="460"/>
      <c r="W405" s="431">
        <v>8436</v>
      </c>
    </row>
    <row r="406" spans="1:23" ht="25.5" hidden="1" x14ac:dyDescent="0.25">
      <c r="A406" s="462" t="s">
        <v>1269</v>
      </c>
      <c r="B406" s="470" t="s">
        <v>1270</v>
      </c>
      <c r="C406" s="464">
        <v>0</v>
      </c>
      <c r="D406" s="464">
        <v>0</v>
      </c>
      <c r="E406" s="465">
        <v>0</v>
      </c>
      <c r="F406" s="464">
        <v>0</v>
      </c>
      <c r="G406" s="459">
        <v>0</v>
      </c>
      <c r="H406" s="460"/>
      <c r="W406" s="431">
        <v>8437</v>
      </c>
    </row>
    <row r="407" spans="1:23" hidden="1" x14ac:dyDescent="0.25">
      <c r="A407" s="462" t="s">
        <v>1271</v>
      </c>
      <c r="B407" s="474" t="s">
        <v>1272</v>
      </c>
      <c r="C407" s="464">
        <v>0</v>
      </c>
      <c r="D407" s="464">
        <v>0</v>
      </c>
      <c r="E407" s="465">
        <v>0</v>
      </c>
      <c r="F407" s="464">
        <v>0</v>
      </c>
      <c r="G407" s="459">
        <v>0</v>
      </c>
      <c r="H407" s="460"/>
      <c r="W407" s="431">
        <v>8438</v>
      </c>
    </row>
    <row r="408" spans="1:23" hidden="1" x14ac:dyDescent="0.25">
      <c r="A408" s="462" t="s">
        <v>1273</v>
      </c>
      <c r="B408" s="470" t="s">
        <v>1274</v>
      </c>
      <c r="C408" s="464">
        <v>0</v>
      </c>
      <c r="D408" s="464">
        <v>0</v>
      </c>
      <c r="E408" s="465">
        <v>0</v>
      </c>
      <c r="F408" s="464">
        <v>0</v>
      </c>
      <c r="G408" s="459">
        <v>0</v>
      </c>
      <c r="H408" s="460"/>
      <c r="W408" s="431">
        <v>8439</v>
      </c>
    </row>
    <row r="409" spans="1:23" ht="25.5" hidden="1" x14ac:dyDescent="0.25">
      <c r="A409" s="462" t="s">
        <v>1275</v>
      </c>
      <c r="B409" s="470" t="s">
        <v>1276</v>
      </c>
      <c r="C409" s="464">
        <v>0</v>
      </c>
      <c r="D409" s="464">
        <v>0</v>
      </c>
      <c r="E409" s="465">
        <v>0</v>
      </c>
      <c r="F409" s="464">
        <v>0</v>
      </c>
      <c r="G409" s="459">
        <v>0</v>
      </c>
      <c r="H409" s="460"/>
      <c r="W409" s="431">
        <v>8440</v>
      </c>
    </row>
    <row r="410" spans="1:23" hidden="1" x14ac:dyDescent="0.25">
      <c r="A410" s="462" t="s">
        <v>1277</v>
      </c>
      <c r="B410" s="470" t="s">
        <v>1278</v>
      </c>
      <c r="C410" s="464">
        <v>0</v>
      </c>
      <c r="D410" s="464">
        <v>0</v>
      </c>
      <c r="E410" s="465">
        <v>0</v>
      </c>
      <c r="F410" s="464">
        <v>0</v>
      </c>
      <c r="G410" s="459">
        <v>0</v>
      </c>
      <c r="H410" s="460"/>
      <c r="W410" s="431">
        <v>8441</v>
      </c>
    </row>
    <row r="411" spans="1:23" hidden="1" x14ac:dyDescent="0.25">
      <c r="A411" s="462" t="s">
        <v>262</v>
      </c>
      <c r="B411" s="470" t="s">
        <v>1279</v>
      </c>
      <c r="C411" s="464">
        <v>0</v>
      </c>
      <c r="D411" s="464">
        <v>0</v>
      </c>
      <c r="E411" s="465">
        <v>0</v>
      </c>
      <c r="F411" s="464">
        <v>0</v>
      </c>
      <c r="G411" s="459">
        <v>0</v>
      </c>
      <c r="H411" s="460"/>
      <c r="W411" s="431">
        <v>8442</v>
      </c>
    </row>
    <row r="412" spans="1:23" ht="25.5" hidden="1" x14ac:dyDescent="0.25">
      <c r="A412" s="462" t="s">
        <v>1280</v>
      </c>
      <c r="B412" s="463" t="s">
        <v>1281</v>
      </c>
      <c r="C412" s="464">
        <v>0</v>
      </c>
      <c r="D412" s="464">
        <v>0</v>
      </c>
      <c r="E412" s="465">
        <v>0</v>
      </c>
      <c r="F412" s="464">
        <v>0</v>
      </c>
      <c r="G412" s="459">
        <v>0</v>
      </c>
      <c r="H412" s="460"/>
      <c r="W412" s="431">
        <v>8443</v>
      </c>
    </row>
    <row r="413" spans="1:23" ht="25.5" hidden="1" x14ac:dyDescent="0.25">
      <c r="A413" s="462" t="s">
        <v>1282</v>
      </c>
      <c r="B413" s="474" t="s">
        <v>1283</v>
      </c>
      <c r="C413" s="464">
        <v>0</v>
      </c>
      <c r="D413" s="464">
        <v>0</v>
      </c>
      <c r="E413" s="465">
        <v>0</v>
      </c>
      <c r="F413" s="464">
        <v>0</v>
      </c>
      <c r="G413" s="459">
        <v>0</v>
      </c>
      <c r="H413" s="460"/>
      <c r="W413" s="431">
        <v>8444</v>
      </c>
    </row>
    <row r="414" spans="1:23" ht="25.5" hidden="1" x14ac:dyDescent="0.25">
      <c r="A414" s="462" t="s">
        <v>1284</v>
      </c>
      <c r="B414" s="470" t="s">
        <v>1285</v>
      </c>
      <c r="C414" s="464">
        <v>0</v>
      </c>
      <c r="D414" s="464">
        <v>0</v>
      </c>
      <c r="E414" s="465">
        <v>0</v>
      </c>
      <c r="F414" s="464">
        <v>0</v>
      </c>
      <c r="G414" s="459">
        <v>0</v>
      </c>
      <c r="H414" s="460"/>
      <c r="W414" s="431">
        <v>8445</v>
      </c>
    </row>
    <row r="415" spans="1:23" ht="38.25" hidden="1" x14ac:dyDescent="0.25">
      <c r="A415" s="462" t="s">
        <v>1286</v>
      </c>
      <c r="B415" s="470" t="s">
        <v>1287</v>
      </c>
      <c r="C415" s="464">
        <v>0</v>
      </c>
      <c r="D415" s="464">
        <v>0</v>
      </c>
      <c r="E415" s="465">
        <v>0</v>
      </c>
      <c r="F415" s="464">
        <v>0</v>
      </c>
      <c r="G415" s="459">
        <v>0</v>
      </c>
      <c r="H415" s="460"/>
      <c r="W415" s="431">
        <v>8446</v>
      </c>
    </row>
    <row r="416" spans="1:23" s="469" customFormat="1" hidden="1" x14ac:dyDescent="0.25">
      <c r="A416" s="455" t="s">
        <v>1288</v>
      </c>
      <c r="B416" s="461" t="s">
        <v>1289</v>
      </c>
      <c r="C416" s="457">
        <v>0</v>
      </c>
      <c r="D416" s="457">
        <v>0</v>
      </c>
      <c r="E416" s="458">
        <v>0</v>
      </c>
      <c r="F416" s="457">
        <v>0</v>
      </c>
      <c r="G416" s="467">
        <v>0</v>
      </c>
      <c r="H416" s="468"/>
      <c r="W416" s="469">
        <v>8447</v>
      </c>
    </row>
    <row r="417" spans="1:23" s="469" customFormat="1" hidden="1" x14ac:dyDescent="0.25">
      <c r="A417" s="455" t="s">
        <v>1290</v>
      </c>
      <c r="B417" s="473" t="s">
        <v>1291</v>
      </c>
      <c r="C417" s="457">
        <v>0</v>
      </c>
      <c r="D417" s="457">
        <v>0</v>
      </c>
      <c r="E417" s="458">
        <v>0</v>
      </c>
      <c r="F417" s="457">
        <v>0</v>
      </c>
      <c r="G417" s="467">
        <v>0</v>
      </c>
      <c r="H417" s="468"/>
      <c r="W417" s="469">
        <v>8448</v>
      </c>
    </row>
    <row r="418" spans="1:23" ht="51" hidden="1" x14ac:dyDescent="0.25">
      <c r="A418" s="462" t="s">
        <v>1292</v>
      </c>
      <c r="B418" s="474" t="s">
        <v>1293</v>
      </c>
      <c r="C418" s="464">
        <v>0</v>
      </c>
      <c r="D418" s="464">
        <v>0</v>
      </c>
      <c r="E418" s="465">
        <v>0</v>
      </c>
      <c r="F418" s="464">
        <v>0</v>
      </c>
      <c r="G418" s="459">
        <v>0</v>
      </c>
      <c r="H418" s="460"/>
      <c r="W418" s="431">
        <v>8449</v>
      </c>
    </row>
    <row r="419" spans="1:23" hidden="1" x14ac:dyDescent="0.25">
      <c r="A419" s="462" t="s">
        <v>1294</v>
      </c>
      <c r="B419" s="470" t="s">
        <v>1295</v>
      </c>
      <c r="C419" s="464">
        <v>0</v>
      </c>
      <c r="D419" s="464">
        <v>0</v>
      </c>
      <c r="E419" s="465">
        <v>0</v>
      </c>
      <c r="F419" s="464">
        <v>0</v>
      </c>
      <c r="G419" s="459">
        <v>0</v>
      </c>
      <c r="H419" s="460"/>
      <c r="W419" s="431">
        <v>8450</v>
      </c>
    </row>
    <row r="420" spans="1:23" hidden="1" x14ac:dyDescent="0.25">
      <c r="A420" s="462" t="s">
        <v>1296</v>
      </c>
      <c r="B420" s="471" t="s">
        <v>1297</v>
      </c>
      <c r="C420" s="464">
        <v>0</v>
      </c>
      <c r="D420" s="464">
        <v>0</v>
      </c>
      <c r="E420" s="465">
        <v>0</v>
      </c>
      <c r="F420" s="464">
        <v>0</v>
      </c>
      <c r="G420" s="459">
        <v>0</v>
      </c>
      <c r="H420" s="460"/>
      <c r="W420" s="431">
        <v>8451</v>
      </c>
    </row>
    <row r="421" spans="1:23" hidden="1" x14ac:dyDescent="0.25">
      <c r="A421" s="462" t="s">
        <v>1298</v>
      </c>
      <c r="B421" s="471" t="s">
        <v>1299</v>
      </c>
      <c r="C421" s="464">
        <v>0</v>
      </c>
      <c r="D421" s="464">
        <v>0</v>
      </c>
      <c r="E421" s="465">
        <v>0</v>
      </c>
      <c r="F421" s="464">
        <v>0</v>
      </c>
      <c r="G421" s="459">
        <v>0</v>
      </c>
      <c r="H421" s="460"/>
      <c r="W421" s="431">
        <v>8452</v>
      </c>
    </row>
    <row r="422" spans="1:23" hidden="1" x14ac:dyDescent="0.25">
      <c r="A422" s="462" t="s">
        <v>1300</v>
      </c>
      <c r="B422" s="470" t="s">
        <v>1301</v>
      </c>
      <c r="C422" s="464">
        <v>0</v>
      </c>
      <c r="D422" s="464">
        <v>0</v>
      </c>
      <c r="E422" s="465">
        <v>0</v>
      </c>
      <c r="F422" s="464">
        <v>0</v>
      </c>
      <c r="G422" s="459">
        <v>0</v>
      </c>
      <c r="H422" s="460"/>
      <c r="W422" s="431">
        <v>8454</v>
      </c>
    </row>
    <row r="423" spans="1:23" ht="38.25" hidden="1" x14ac:dyDescent="0.25">
      <c r="A423" s="462" t="s">
        <v>1302</v>
      </c>
      <c r="B423" s="470" t="s">
        <v>1303</v>
      </c>
      <c r="C423" s="464">
        <v>0</v>
      </c>
      <c r="D423" s="464">
        <v>0</v>
      </c>
      <c r="E423" s="465">
        <v>0</v>
      </c>
      <c r="F423" s="464">
        <v>0</v>
      </c>
      <c r="G423" s="459">
        <v>0</v>
      </c>
      <c r="H423" s="460"/>
      <c r="W423" s="431">
        <v>8455</v>
      </c>
    </row>
    <row r="424" spans="1:23" hidden="1" x14ac:dyDescent="0.25">
      <c r="A424" s="462" t="s">
        <v>1304</v>
      </c>
      <c r="B424" s="471" t="s">
        <v>1305</v>
      </c>
      <c r="C424" s="464">
        <v>0</v>
      </c>
      <c r="D424" s="464">
        <v>0</v>
      </c>
      <c r="E424" s="465">
        <v>0</v>
      </c>
      <c r="F424" s="464">
        <v>0</v>
      </c>
      <c r="G424" s="459">
        <v>0</v>
      </c>
      <c r="H424" s="460"/>
      <c r="W424" s="431">
        <v>8456</v>
      </c>
    </row>
    <row r="425" spans="1:23" ht="25.5" hidden="1" x14ac:dyDescent="0.25">
      <c r="A425" s="462" t="s">
        <v>1306</v>
      </c>
      <c r="B425" s="471" t="s">
        <v>1307</v>
      </c>
      <c r="C425" s="464">
        <v>0</v>
      </c>
      <c r="D425" s="464">
        <v>0</v>
      </c>
      <c r="E425" s="465">
        <v>0</v>
      </c>
      <c r="F425" s="464">
        <v>0</v>
      </c>
      <c r="G425" s="459">
        <v>0</v>
      </c>
      <c r="H425" s="460"/>
      <c r="W425" s="431">
        <v>8457</v>
      </c>
    </row>
    <row r="426" spans="1:23" hidden="1" x14ac:dyDescent="0.25">
      <c r="A426" s="462" t="s">
        <v>1308</v>
      </c>
      <c r="B426" s="471" t="s">
        <v>1309</v>
      </c>
      <c r="C426" s="464">
        <v>0</v>
      </c>
      <c r="D426" s="464">
        <v>0</v>
      </c>
      <c r="E426" s="465">
        <v>0</v>
      </c>
      <c r="F426" s="464">
        <v>0</v>
      </c>
      <c r="G426" s="459">
        <v>0</v>
      </c>
      <c r="H426" s="460"/>
      <c r="W426" s="431">
        <v>8458</v>
      </c>
    </row>
    <row r="427" spans="1:23" hidden="1" x14ac:dyDescent="0.25">
      <c r="A427" s="462" t="s">
        <v>1310</v>
      </c>
      <c r="B427" s="471" t="s">
        <v>1311</v>
      </c>
      <c r="C427" s="464">
        <v>0</v>
      </c>
      <c r="D427" s="464">
        <v>0</v>
      </c>
      <c r="E427" s="465">
        <v>0</v>
      </c>
      <c r="F427" s="464">
        <v>0</v>
      </c>
      <c r="G427" s="459">
        <v>0</v>
      </c>
      <c r="H427" s="460"/>
      <c r="W427" s="431">
        <v>8459</v>
      </c>
    </row>
    <row r="428" spans="1:23" hidden="1" x14ac:dyDescent="0.25">
      <c r="A428" s="462" t="s">
        <v>1312</v>
      </c>
      <c r="B428" s="470" t="s">
        <v>1313</v>
      </c>
      <c r="C428" s="464">
        <v>0</v>
      </c>
      <c r="D428" s="464">
        <v>0</v>
      </c>
      <c r="E428" s="465">
        <v>0</v>
      </c>
      <c r="F428" s="464">
        <v>0</v>
      </c>
      <c r="G428" s="459">
        <v>0</v>
      </c>
      <c r="H428" s="460"/>
      <c r="W428" s="431">
        <v>8460</v>
      </c>
    </row>
    <row r="429" spans="1:23" hidden="1" x14ac:dyDescent="0.25">
      <c r="A429" s="462" t="s">
        <v>1314</v>
      </c>
      <c r="B429" s="471" t="s">
        <v>1315</v>
      </c>
      <c r="C429" s="464">
        <v>0</v>
      </c>
      <c r="D429" s="464">
        <v>0</v>
      </c>
      <c r="E429" s="465">
        <v>0</v>
      </c>
      <c r="F429" s="464">
        <v>0</v>
      </c>
      <c r="G429" s="459">
        <v>0</v>
      </c>
      <c r="H429" s="460"/>
      <c r="W429" s="431">
        <v>8461</v>
      </c>
    </row>
    <row r="430" spans="1:23" ht="25.5" hidden="1" x14ac:dyDescent="0.25">
      <c r="A430" s="462" t="s">
        <v>1316</v>
      </c>
      <c r="B430" s="471" t="s">
        <v>1317</v>
      </c>
      <c r="C430" s="464">
        <v>0</v>
      </c>
      <c r="D430" s="464">
        <v>0</v>
      </c>
      <c r="E430" s="465">
        <v>0</v>
      </c>
      <c r="F430" s="464">
        <v>0</v>
      </c>
      <c r="G430" s="459">
        <v>0</v>
      </c>
      <c r="H430" s="460"/>
      <c r="W430" s="431">
        <v>8462</v>
      </c>
    </row>
    <row r="431" spans="1:23" ht="25.5" hidden="1" x14ac:dyDescent="0.25">
      <c r="A431" s="462" t="s">
        <v>1318</v>
      </c>
      <c r="B431" s="471" t="s">
        <v>1319</v>
      </c>
      <c r="C431" s="464">
        <v>0</v>
      </c>
      <c r="D431" s="464">
        <v>0</v>
      </c>
      <c r="E431" s="465">
        <v>0</v>
      </c>
      <c r="F431" s="464">
        <v>0</v>
      </c>
      <c r="G431" s="459">
        <v>0</v>
      </c>
      <c r="H431" s="460"/>
      <c r="W431" s="431">
        <v>8463</v>
      </c>
    </row>
    <row r="432" spans="1:23" ht="25.5" hidden="1" x14ac:dyDescent="0.25">
      <c r="A432" s="462" t="s">
        <v>1320</v>
      </c>
      <c r="B432" s="471" t="s">
        <v>1321</v>
      </c>
      <c r="C432" s="464">
        <v>0</v>
      </c>
      <c r="D432" s="464">
        <v>0</v>
      </c>
      <c r="E432" s="465">
        <v>0</v>
      </c>
      <c r="F432" s="464">
        <v>0</v>
      </c>
      <c r="G432" s="459">
        <v>0</v>
      </c>
      <c r="H432" s="460"/>
      <c r="W432" s="431">
        <v>8466</v>
      </c>
    </row>
    <row r="433" spans="1:23" hidden="1" x14ac:dyDescent="0.25">
      <c r="A433" s="462" t="s">
        <v>1322</v>
      </c>
      <c r="B433" s="471" t="s">
        <v>1313</v>
      </c>
      <c r="C433" s="464">
        <v>0</v>
      </c>
      <c r="D433" s="464">
        <v>0</v>
      </c>
      <c r="E433" s="465">
        <v>0</v>
      </c>
      <c r="F433" s="464">
        <v>0</v>
      </c>
      <c r="G433" s="459">
        <v>0</v>
      </c>
      <c r="H433" s="460"/>
      <c r="W433" s="431">
        <v>8467</v>
      </c>
    </row>
    <row r="434" spans="1:23" ht="51" hidden="1" x14ac:dyDescent="0.25">
      <c r="A434" s="462" t="s">
        <v>1323</v>
      </c>
      <c r="B434" s="470" t="s">
        <v>1324</v>
      </c>
      <c r="C434" s="464">
        <v>0</v>
      </c>
      <c r="D434" s="464">
        <v>0</v>
      </c>
      <c r="E434" s="465">
        <v>0</v>
      </c>
      <c r="F434" s="464">
        <v>0</v>
      </c>
      <c r="G434" s="459">
        <v>0</v>
      </c>
      <c r="H434" s="460"/>
      <c r="W434" s="431">
        <v>8468</v>
      </c>
    </row>
    <row r="435" spans="1:23" ht="51" hidden="1" x14ac:dyDescent="0.25">
      <c r="A435" s="462" t="s">
        <v>1325</v>
      </c>
      <c r="B435" s="471" t="s">
        <v>1326</v>
      </c>
      <c r="C435" s="464">
        <v>0</v>
      </c>
      <c r="D435" s="464">
        <v>0</v>
      </c>
      <c r="E435" s="465">
        <v>0</v>
      </c>
      <c r="F435" s="464">
        <v>0</v>
      </c>
      <c r="G435" s="459">
        <v>0</v>
      </c>
      <c r="H435" s="460"/>
      <c r="W435" s="431">
        <v>8469</v>
      </c>
    </row>
    <row r="436" spans="1:23" ht="63.75" hidden="1" x14ac:dyDescent="0.25">
      <c r="A436" s="462" t="s">
        <v>1327</v>
      </c>
      <c r="B436" s="471" t="s">
        <v>1328</v>
      </c>
      <c r="C436" s="464">
        <v>0</v>
      </c>
      <c r="D436" s="464">
        <v>0</v>
      </c>
      <c r="E436" s="465">
        <v>0</v>
      </c>
      <c r="F436" s="464">
        <v>0</v>
      </c>
      <c r="G436" s="459">
        <v>0</v>
      </c>
      <c r="H436" s="460"/>
      <c r="W436" s="431">
        <v>8470</v>
      </c>
    </row>
    <row r="437" spans="1:23" ht="38.25" hidden="1" x14ac:dyDescent="0.25">
      <c r="A437" s="462" t="s">
        <v>1329</v>
      </c>
      <c r="B437" s="470" t="s">
        <v>1330</v>
      </c>
      <c r="C437" s="464">
        <v>0</v>
      </c>
      <c r="D437" s="464">
        <v>0</v>
      </c>
      <c r="E437" s="465">
        <v>0</v>
      </c>
      <c r="F437" s="464">
        <v>0</v>
      </c>
      <c r="G437" s="459">
        <v>0</v>
      </c>
      <c r="H437" s="460"/>
      <c r="W437" s="431">
        <v>8471</v>
      </c>
    </row>
    <row r="438" spans="1:23" hidden="1" x14ac:dyDescent="0.25">
      <c r="A438" s="462" t="s">
        <v>1331</v>
      </c>
      <c r="B438" s="471" t="s">
        <v>1332</v>
      </c>
      <c r="C438" s="464">
        <v>0</v>
      </c>
      <c r="D438" s="464">
        <v>0</v>
      </c>
      <c r="E438" s="465">
        <v>0</v>
      </c>
      <c r="F438" s="464">
        <v>0</v>
      </c>
      <c r="G438" s="459">
        <v>0</v>
      </c>
      <c r="H438" s="460"/>
      <c r="W438" s="431">
        <v>8472</v>
      </c>
    </row>
    <row r="439" spans="1:23" ht="25.5" hidden="1" x14ac:dyDescent="0.25">
      <c r="A439" s="462" t="s">
        <v>1333</v>
      </c>
      <c r="B439" s="471" t="s">
        <v>1334</v>
      </c>
      <c r="C439" s="464">
        <v>0</v>
      </c>
      <c r="D439" s="464">
        <v>0</v>
      </c>
      <c r="E439" s="465">
        <v>0</v>
      </c>
      <c r="F439" s="464">
        <v>0</v>
      </c>
      <c r="G439" s="459">
        <v>0</v>
      </c>
      <c r="H439" s="460"/>
      <c r="W439" s="431">
        <v>8473</v>
      </c>
    </row>
    <row r="440" spans="1:23" ht="38.25" hidden="1" x14ac:dyDescent="0.25">
      <c r="A440" s="462" t="s">
        <v>1335</v>
      </c>
      <c r="B440" s="471" t="s">
        <v>1336</v>
      </c>
      <c r="C440" s="464">
        <v>0</v>
      </c>
      <c r="D440" s="464">
        <v>0</v>
      </c>
      <c r="E440" s="465">
        <v>0</v>
      </c>
      <c r="F440" s="464">
        <v>0</v>
      </c>
      <c r="G440" s="459">
        <v>0</v>
      </c>
      <c r="H440" s="460"/>
      <c r="W440" s="431">
        <v>8474</v>
      </c>
    </row>
    <row r="441" spans="1:23" s="469" customFormat="1" hidden="1" x14ac:dyDescent="0.25">
      <c r="A441" s="455" t="s">
        <v>1337</v>
      </c>
      <c r="B441" s="473" t="s">
        <v>1338</v>
      </c>
      <c r="C441" s="457">
        <v>0</v>
      </c>
      <c r="D441" s="457">
        <v>0</v>
      </c>
      <c r="E441" s="458">
        <v>0</v>
      </c>
      <c r="F441" s="457">
        <v>0</v>
      </c>
      <c r="G441" s="467">
        <v>0</v>
      </c>
      <c r="H441" s="468"/>
      <c r="W441" s="469">
        <v>8475</v>
      </c>
    </row>
    <row r="442" spans="1:23" hidden="1" x14ac:dyDescent="0.25">
      <c r="A442" s="462" t="s">
        <v>1339</v>
      </c>
      <c r="B442" s="474" t="s">
        <v>1340</v>
      </c>
      <c r="C442" s="464">
        <v>0</v>
      </c>
      <c r="D442" s="464">
        <v>0</v>
      </c>
      <c r="E442" s="465">
        <v>0</v>
      </c>
      <c r="F442" s="464">
        <v>0</v>
      </c>
      <c r="G442" s="459">
        <v>0</v>
      </c>
      <c r="H442" s="460"/>
      <c r="W442" s="431">
        <v>8476</v>
      </c>
    </row>
    <row r="443" spans="1:23" ht="25.5" hidden="1" x14ac:dyDescent="0.25">
      <c r="A443" s="462" t="s">
        <v>1341</v>
      </c>
      <c r="B443" s="470" t="s">
        <v>1342</v>
      </c>
      <c r="C443" s="464">
        <v>0</v>
      </c>
      <c r="D443" s="464">
        <v>0</v>
      </c>
      <c r="E443" s="465">
        <v>0</v>
      </c>
      <c r="F443" s="464">
        <v>0</v>
      </c>
      <c r="G443" s="459">
        <v>0</v>
      </c>
      <c r="H443" s="460"/>
      <c r="W443" s="431">
        <v>8477</v>
      </c>
    </row>
    <row r="444" spans="1:23" ht="25.5" hidden="1" x14ac:dyDescent="0.25">
      <c r="A444" s="462" t="s">
        <v>1343</v>
      </c>
      <c r="B444" s="470" t="s">
        <v>1344</v>
      </c>
      <c r="C444" s="464">
        <v>0</v>
      </c>
      <c r="D444" s="464">
        <v>0</v>
      </c>
      <c r="E444" s="465">
        <v>0</v>
      </c>
      <c r="F444" s="464">
        <v>0</v>
      </c>
      <c r="G444" s="459">
        <v>0</v>
      </c>
      <c r="H444" s="460"/>
      <c r="W444" s="431">
        <v>8478</v>
      </c>
    </row>
    <row r="445" spans="1:23" ht="38.25" hidden="1" x14ac:dyDescent="0.25">
      <c r="A445" s="462" t="s">
        <v>1345</v>
      </c>
      <c r="B445" s="470" t="s">
        <v>1346</v>
      </c>
      <c r="C445" s="464">
        <v>0</v>
      </c>
      <c r="D445" s="464">
        <v>0</v>
      </c>
      <c r="E445" s="465">
        <v>0</v>
      </c>
      <c r="F445" s="464">
        <v>0</v>
      </c>
      <c r="G445" s="459">
        <v>0</v>
      </c>
      <c r="H445" s="460"/>
      <c r="W445" s="431">
        <v>8479</v>
      </c>
    </row>
    <row r="446" spans="1:23" ht="25.5" hidden="1" x14ac:dyDescent="0.25">
      <c r="A446" s="462" t="s">
        <v>1347</v>
      </c>
      <c r="B446" s="470" t="s">
        <v>1348</v>
      </c>
      <c r="C446" s="464">
        <v>0</v>
      </c>
      <c r="D446" s="464">
        <v>0</v>
      </c>
      <c r="E446" s="465">
        <v>0</v>
      </c>
      <c r="F446" s="464">
        <v>0</v>
      </c>
      <c r="G446" s="459">
        <v>0</v>
      </c>
      <c r="H446" s="460"/>
      <c r="W446" s="431">
        <v>8480</v>
      </c>
    </row>
    <row r="447" spans="1:23" ht="51" hidden="1" x14ac:dyDescent="0.25">
      <c r="A447" s="462" t="s">
        <v>1349</v>
      </c>
      <c r="B447" s="470" t="s">
        <v>1350</v>
      </c>
      <c r="C447" s="464">
        <v>0</v>
      </c>
      <c r="D447" s="464">
        <v>0</v>
      </c>
      <c r="E447" s="465">
        <v>0</v>
      </c>
      <c r="F447" s="464">
        <v>0</v>
      </c>
      <c r="G447" s="459">
        <v>0</v>
      </c>
      <c r="H447" s="460"/>
      <c r="W447" s="431">
        <v>8483</v>
      </c>
    </row>
    <row r="448" spans="1:23" ht="51" hidden="1" x14ac:dyDescent="0.25">
      <c r="A448" s="462" t="s">
        <v>1351</v>
      </c>
      <c r="B448" s="471" t="s">
        <v>1352</v>
      </c>
      <c r="C448" s="464">
        <v>0</v>
      </c>
      <c r="D448" s="464">
        <v>0</v>
      </c>
      <c r="E448" s="465">
        <v>0</v>
      </c>
      <c r="F448" s="464">
        <v>0</v>
      </c>
      <c r="G448" s="459">
        <v>0</v>
      </c>
      <c r="H448" s="460"/>
      <c r="W448" s="431">
        <v>8484</v>
      </c>
    </row>
    <row r="449" spans="1:23" ht="25.5" hidden="1" x14ac:dyDescent="0.25">
      <c r="A449" s="462" t="s">
        <v>196</v>
      </c>
      <c r="B449" s="471" t="s">
        <v>1353</v>
      </c>
      <c r="C449" s="464">
        <v>0</v>
      </c>
      <c r="D449" s="464">
        <v>0</v>
      </c>
      <c r="E449" s="465">
        <v>0</v>
      </c>
      <c r="F449" s="464">
        <v>0</v>
      </c>
      <c r="G449" s="459">
        <v>0</v>
      </c>
      <c r="H449" s="460"/>
      <c r="W449" s="431">
        <v>8485</v>
      </c>
    </row>
    <row r="450" spans="1:23" ht="63.75" hidden="1" x14ac:dyDescent="0.25">
      <c r="A450" s="462" t="s">
        <v>1354</v>
      </c>
      <c r="B450" s="471" t="s">
        <v>1355</v>
      </c>
      <c r="C450" s="464">
        <v>0</v>
      </c>
      <c r="D450" s="464">
        <v>0</v>
      </c>
      <c r="E450" s="465">
        <v>0</v>
      </c>
      <c r="F450" s="464">
        <v>0</v>
      </c>
      <c r="G450" s="459">
        <v>0</v>
      </c>
      <c r="H450" s="460"/>
      <c r="W450" s="431">
        <v>8486</v>
      </c>
    </row>
    <row r="451" spans="1:23" ht="38.25" hidden="1" x14ac:dyDescent="0.25">
      <c r="A451" s="462" t="s">
        <v>1356</v>
      </c>
      <c r="B451" s="471" t="s">
        <v>1357</v>
      </c>
      <c r="C451" s="464">
        <v>0</v>
      </c>
      <c r="D451" s="464">
        <v>0</v>
      </c>
      <c r="E451" s="465">
        <v>0</v>
      </c>
      <c r="F451" s="464">
        <v>0</v>
      </c>
      <c r="G451" s="459">
        <v>0</v>
      </c>
      <c r="H451" s="460"/>
      <c r="W451" s="431">
        <v>8487</v>
      </c>
    </row>
    <row r="452" spans="1:23" ht="25.5" hidden="1" x14ac:dyDescent="0.25">
      <c r="A452" s="462" t="s">
        <v>1358</v>
      </c>
      <c r="B452" s="474" t="s">
        <v>1359</v>
      </c>
      <c r="C452" s="464">
        <v>0</v>
      </c>
      <c r="D452" s="464">
        <v>0</v>
      </c>
      <c r="E452" s="465">
        <v>0</v>
      </c>
      <c r="F452" s="464">
        <v>0</v>
      </c>
      <c r="G452" s="459">
        <v>0</v>
      </c>
      <c r="H452" s="460"/>
      <c r="W452" s="431">
        <v>8488</v>
      </c>
    </row>
    <row r="453" spans="1:23" ht="25.5" hidden="1" x14ac:dyDescent="0.25">
      <c r="A453" s="462" t="s">
        <v>1360</v>
      </c>
      <c r="B453" s="470" t="s">
        <v>1359</v>
      </c>
      <c r="C453" s="464">
        <v>0</v>
      </c>
      <c r="D453" s="464">
        <v>0</v>
      </c>
      <c r="E453" s="465">
        <v>0</v>
      </c>
      <c r="F453" s="464">
        <v>0</v>
      </c>
      <c r="G453" s="459">
        <v>0</v>
      </c>
      <c r="H453" s="460"/>
      <c r="W453" s="431">
        <v>8489</v>
      </c>
    </row>
    <row r="454" spans="1:23" s="469" customFormat="1" x14ac:dyDescent="0.25">
      <c r="A454" s="455" t="s">
        <v>1361</v>
      </c>
      <c r="B454" s="461" t="s">
        <v>228</v>
      </c>
      <c r="C454" s="457">
        <v>191340</v>
      </c>
      <c r="D454" s="457">
        <v>47835</v>
      </c>
      <c r="E454" s="458">
        <v>25</v>
      </c>
      <c r="F454" s="457">
        <v>15945</v>
      </c>
      <c r="G454" s="467">
        <v>31890</v>
      </c>
      <c r="H454" s="468"/>
      <c r="W454" s="469">
        <v>8490</v>
      </c>
    </row>
    <row r="455" spans="1:23" ht="25.5" hidden="1" x14ac:dyDescent="0.25">
      <c r="A455" s="462" t="s">
        <v>1362</v>
      </c>
      <c r="B455" s="463" t="s">
        <v>1363</v>
      </c>
      <c r="C455" s="464">
        <v>0</v>
      </c>
      <c r="D455" s="464">
        <v>0</v>
      </c>
      <c r="E455" s="465">
        <v>0</v>
      </c>
      <c r="F455" s="464">
        <v>0</v>
      </c>
      <c r="G455" s="459">
        <v>0</v>
      </c>
      <c r="H455" s="460"/>
      <c r="W455" s="431">
        <v>8491</v>
      </c>
    </row>
    <row r="456" spans="1:23" ht="38.25" hidden="1" x14ac:dyDescent="0.25">
      <c r="A456" s="462" t="s">
        <v>1364</v>
      </c>
      <c r="B456" s="474" t="s">
        <v>1365</v>
      </c>
      <c r="C456" s="464">
        <v>0</v>
      </c>
      <c r="D456" s="464">
        <v>0</v>
      </c>
      <c r="E456" s="465">
        <v>0</v>
      </c>
      <c r="F456" s="464">
        <v>0</v>
      </c>
      <c r="G456" s="459">
        <v>0</v>
      </c>
      <c r="H456" s="460"/>
      <c r="W456" s="431">
        <v>8492</v>
      </c>
    </row>
    <row r="457" spans="1:23" ht="51" hidden="1" x14ac:dyDescent="0.25">
      <c r="A457" s="462" t="s">
        <v>1366</v>
      </c>
      <c r="B457" s="470" t="s">
        <v>1367</v>
      </c>
      <c r="C457" s="464">
        <v>0</v>
      </c>
      <c r="D457" s="464">
        <v>0</v>
      </c>
      <c r="E457" s="465">
        <v>0</v>
      </c>
      <c r="F457" s="464">
        <v>0</v>
      </c>
      <c r="G457" s="459">
        <v>0</v>
      </c>
      <c r="H457" s="460"/>
      <c r="W457" s="431">
        <v>8493</v>
      </c>
    </row>
    <row r="458" spans="1:23" ht="51" hidden="1" x14ac:dyDescent="0.25">
      <c r="A458" s="462" t="s">
        <v>1368</v>
      </c>
      <c r="B458" s="470" t="s">
        <v>1369</v>
      </c>
      <c r="C458" s="464">
        <v>0</v>
      </c>
      <c r="D458" s="464">
        <v>0</v>
      </c>
      <c r="E458" s="465">
        <v>0</v>
      </c>
      <c r="F458" s="464">
        <v>0</v>
      </c>
      <c r="G458" s="459">
        <v>0</v>
      </c>
      <c r="H458" s="460"/>
      <c r="W458" s="431">
        <v>8494</v>
      </c>
    </row>
    <row r="459" spans="1:23" ht="89.25" hidden="1" x14ac:dyDescent="0.25">
      <c r="A459" s="462" t="s">
        <v>1370</v>
      </c>
      <c r="B459" s="470" t="s">
        <v>1371</v>
      </c>
      <c r="C459" s="464">
        <v>0</v>
      </c>
      <c r="D459" s="464">
        <v>0</v>
      </c>
      <c r="E459" s="465">
        <v>0</v>
      </c>
      <c r="F459" s="464">
        <v>0</v>
      </c>
      <c r="G459" s="459">
        <v>0</v>
      </c>
      <c r="H459" s="460"/>
      <c r="W459" s="431">
        <v>8495</v>
      </c>
    </row>
    <row r="460" spans="1:23" ht="89.25" hidden="1" x14ac:dyDescent="0.25">
      <c r="A460" s="462" t="s">
        <v>1372</v>
      </c>
      <c r="B460" s="470" t="s">
        <v>1373</v>
      </c>
      <c r="C460" s="464">
        <v>0</v>
      </c>
      <c r="D460" s="464">
        <v>0</v>
      </c>
      <c r="E460" s="465">
        <v>0</v>
      </c>
      <c r="F460" s="464">
        <v>0</v>
      </c>
      <c r="G460" s="459">
        <v>0</v>
      </c>
      <c r="H460" s="460"/>
      <c r="W460" s="431">
        <v>8496</v>
      </c>
    </row>
    <row r="461" spans="1:23" ht="38.25" hidden="1" x14ac:dyDescent="0.25">
      <c r="A461" s="462" t="s">
        <v>1374</v>
      </c>
      <c r="B461" s="474" t="s">
        <v>1375</v>
      </c>
      <c r="C461" s="464">
        <v>0</v>
      </c>
      <c r="D461" s="464">
        <v>0</v>
      </c>
      <c r="E461" s="465">
        <v>0</v>
      </c>
      <c r="F461" s="464">
        <v>0</v>
      </c>
      <c r="G461" s="459">
        <v>0</v>
      </c>
      <c r="H461" s="460"/>
      <c r="W461" s="431">
        <v>8497</v>
      </c>
    </row>
    <row r="462" spans="1:23" ht="38.25" hidden="1" x14ac:dyDescent="0.25">
      <c r="A462" s="462" t="s">
        <v>1376</v>
      </c>
      <c r="B462" s="474" t="s">
        <v>1377</v>
      </c>
      <c r="C462" s="464">
        <v>0</v>
      </c>
      <c r="D462" s="464">
        <v>0</v>
      </c>
      <c r="E462" s="465">
        <v>0</v>
      </c>
      <c r="F462" s="464">
        <v>0</v>
      </c>
      <c r="G462" s="459">
        <v>0</v>
      </c>
      <c r="H462" s="460"/>
      <c r="W462" s="431">
        <v>8498</v>
      </c>
    </row>
    <row r="463" spans="1:23" ht="51" hidden="1" x14ac:dyDescent="0.25">
      <c r="A463" s="462" t="s">
        <v>1378</v>
      </c>
      <c r="B463" s="474" t="s">
        <v>1379</v>
      </c>
      <c r="C463" s="464">
        <v>0</v>
      </c>
      <c r="D463" s="464">
        <v>0</v>
      </c>
      <c r="E463" s="465">
        <v>0</v>
      </c>
      <c r="F463" s="464">
        <v>0</v>
      </c>
      <c r="G463" s="459">
        <v>0</v>
      </c>
      <c r="H463" s="460"/>
      <c r="W463" s="431">
        <v>8499</v>
      </c>
    </row>
    <row r="464" spans="1:23" ht="76.5" hidden="1" x14ac:dyDescent="0.25">
      <c r="A464" s="462" t="s">
        <v>1380</v>
      </c>
      <c r="B464" s="470" t="s">
        <v>1381</v>
      </c>
      <c r="C464" s="464">
        <v>0</v>
      </c>
      <c r="D464" s="464">
        <v>0</v>
      </c>
      <c r="E464" s="465">
        <v>0</v>
      </c>
      <c r="F464" s="464">
        <v>0</v>
      </c>
      <c r="G464" s="459">
        <v>0</v>
      </c>
      <c r="H464" s="460"/>
      <c r="W464" s="431">
        <v>8500</v>
      </c>
    </row>
    <row r="465" spans="1:23" ht="76.5" hidden="1" x14ac:dyDescent="0.25">
      <c r="A465" s="462" t="s">
        <v>1382</v>
      </c>
      <c r="B465" s="470" t="s">
        <v>1383</v>
      </c>
      <c r="C465" s="464">
        <v>0</v>
      </c>
      <c r="D465" s="464">
        <v>0</v>
      </c>
      <c r="E465" s="465">
        <v>0</v>
      </c>
      <c r="F465" s="464">
        <v>0</v>
      </c>
      <c r="G465" s="459">
        <v>0</v>
      </c>
      <c r="H465" s="460"/>
      <c r="W465" s="431">
        <v>8501</v>
      </c>
    </row>
    <row r="466" spans="1:23" x14ac:dyDescent="0.25">
      <c r="A466" s="462" t="s">
        <v>1384</v>
      </c>
      <c r="B466" s="463" t="s">
        <v>134</v>
      </c>
      <c r="C466" s="464">
        <v>191340</v>
      </c>
      <c r="D466" s="464">
        <v>47835</v>
      </c>
      <c r="E466" s="465">
        <v>25</v>
      </c>
      <c r="F466" s="464">
        <v>15945</v>
      </c>
      <c r="G466" s="459">
        <v>31890</v>
      </c>
      <c r="H466" s="460"/>
      <c r="W466" s="431">
        <v>8502</v>
      </c>
    </row>
    <row r="467" spans="1:23" hidden="1" x14ac:dyDescent="0.25">
      <c r="A467" s="462" t="s">
        <v>1385</v>
      </c>
      <c r="B467" s="474" t="s">
        <v>1386</v>
      </c>
      <c r="C467" s="464">
        <v>0</v>
      </c>
      <c r="D467" s="464">
        <v>0</v>
      </c>
      <c r="E467" s="465">
        <v>0</v>
      </c>
      <c r="F467" s="464">
        <v>0</v>
      </c>
      <c r="G467" s="459">
        <v>0</v>
      </c>
      <c r="H467" s="460"/>
      <c r="W467" s="431">
        <v>8503</v>
      </c>
    </row>
    <row r="468" spans="1:23" ht="51" hidden="1" x14ac:dyDescent="0.25">
      <c r="A468" s="462" t="s">
        <v>1387</v>
      </c>
      <c r="B468" s="470" t="s">
        <v>1388</v>
      </c>
      <c r="C468" s="464">
        <v>0</v>
      </c>
      <c r="D468" s="464">
        <v>0</v>
      </c>
      <c r="E468" s="465">
        <v>0</v>
      </c>
      <c r="F468" s="464">
        <v>0</v>
      </c>
      <c r="G468" s="459">
        <v>0</v>
      </c>
      <c r="H468" s="460"/>
      <c r="W468" s="431">
        <v>8504</v>
      </c>
    </row>
    <row r="469" spans="1:23" ht="25.5" hidden="1" x14ac:dyDescent="0.25">
      <c r="A469" s="462" t="s">
        <v>1389</v>
      </c>
      <c r="B469" s="470" t="s">
        <v>1390</v>
      </c>
      <c r="C469" s="464">
        <v>0</v>
      </c>
      <c r="D469" s="464">
        <v>0</v>
      </c>
      <c r="E469" s="465">
        <v>0</v>
      </c>
      <c r="F469" s="464">
        <v>0</v>
      </c>
      <c r="G469" s="459">
        <v>0</v>
      </c>
      <c r="H469" s="460"/>
      <c r="W469" s="431">
        <v>8505</v>
      </c>
    </row>
    <row r="470" spans="1:23" ht="38.25" hidden="1" x14ac:dyDescent="0.25">
      <c r="A470" s="462" t="s">
        <v>1391</v>
      </c>
      <c r="B470" s="471" t="s">
        <v>1392</v>
      </c>
      <c r="C470" s="464">
        <v>0</v>
      </c>
      <c r="D470" s="464">
        <v>0</v>
      </c>
      <c r="E470" s="465">
        <v>0</v>
      </c>
      <c r="F470" s="464">
        <v>0</v>
      </c>
      <c r="G470" s="459">
        <v>0</v>
      </c>
      <c r="H470" s="460"/>
      <c r="W470" s="431">
        <v>8506</v>
      </c>
    </row>
    <row r="471" spans="1:23" ht="25.5" hidden="1" x14ac:dyDescent="0.25">
      <c r="A471" s="462" t="s">
        <v>1393</v>
      </c>
      <c r="B471" s="471" t="s">
        <v>1394</v>
      </c>
      <c r="C471" s="464">
        <v>0</v>
      </c>
      <c r="D471" s="464">
        <v>0</v>
      </c>
      <c r="E471" s="465">
        <v>0</v>
      </c>
      <c r="F471" s="464">
        <v>0</v>
      </c>
      <c r="G471" s="459">
        <v>0</v>
      </c>
      <c r="H471" s="460"/>
      <c r="W471" s="431">
        <v>8507</v>
      </c>
    </row>
    <row r="472" spans="1:23" ht="51" hidden="1" x14ac:dyDescent="0.25">
      <c r="A472" s="462" t="s">
        <v>1395</v>
      </c>
      <c r="B472" s="471" t="s">
        <v>1396</v>
      </c>
      <c r="C472" s="464">
        <v>0</v>
      </c>
      <c r="D472" s="464">
        <v>0</v>
      </c>
      <c r="E472" s="465">
        <v>0</v>
      </c>
      <c r="F472" s="464">
        <v>0</v>
      </c>
      <c r="G472" s="459">
        <v>0</v>
      </c>
      <c r="H472" s="460"/>
      <c r="W472" s="431">
        <v>8508</v>
      </c>
    </row>
    <row r="473" spans="1:23" ht="51" hidden="1" x14ac:dyDescent="0.25">
      <c r="A473" s="462" t="s">
        <v>1397</v>
      </c>
      <c r="B473" s="471" t="s">
        <v>1398</v>
      </c>
      <c r="C473" s="464">
        <v>0</v>
      </c>
      <c r="D473" s="464">
        <v>0</v>
      </c>
      <c r="E473" s="465">
        <v>0</v>
      </c>
      <c r="F473" s="464">
        <v>0</v>
      </c>
      <c r="G473" s="459">
        <v>0</v>
      </c>
      <c r="H473" s="460"/>
      <c r="W473" s="431">
        <v>8509</v>
      </c>
    </row>
    <row r="474" spans="1:23" ht="25.5" hidden="1" x14ac:dyDescent="0.25">
      <c r="A474" s="462" t="s">
        <v>1399</v>
      </c>
      <c r="B474" s="471" t="s">
        <v>1400</v>
      </c>
      <c r="C474" s="464">
        <v>0</v>
      </c>
      <c r="D474" s="464">
        <v>0</v>
      </c>
      <c r="E474" s="465">
        <v>0</v>
      </c>
      <c r="F474" s="464">
        <v>0</v>
      </c>
      <c r="G474" s="459">
        <v>0</v>
      </c>
      <c r="H474" s="460"/>
      <c r="W474" s="431">
        <v>8510</v>
      </c>
    </row>
    <row r="475" spans="1:23" ht="25.5" hidden="1" x14ac:dyDescent="0.25">
      <c r="A475" s="462" t="s">
        <v>1401</v>
      </c>
      <c r="B475" s="474" t="s">
        <v>1402</v>
      </c>
      <c r="C475" s="464">
        <v>0</v>
      </c>
      <c r="D475" s="464">
        <v>0</v>
      </c>
      <c r="E475" s="465">
        <v>0</v>
      </c>
      <c r="F475" s="464">
        <v>0</v>
      </c>
      <c r="G475" s="459">
        <v>0</v>
      </c>
      <c r="H475" s="460"/>
      <c r="W475" s="431">
        <v>8511</v>
      </c>
    </row>
    <row r="476" spans="1:23" ht="25.5" hidden="1" x14ac:dyDescent="0.25">
      <c r="A476" s="462" t="s">
        <v>1403</v>
      </c>
      <c r="B476" s="470" t="s">
        <v>1404</v>
      </c>
      <c r="C476" s="464">
        <v>0</v>
      </c>
      <c r="D476" s="464">
        <v>0</v>
      </c>
      <c r="E476" s="465">
        <v>0</v>
      </c>
      <c r="F476" s="464">
        <v>0</v>
      </c>
      <c r="G476" s="459">
        <v>0</v>
      </c>
      <c r="H476" s="460"/>
      <c r="W476" s="431">
        <v>8512</v>
      </c>
    </row>
    <row r="477" spans="1:23" ht="51" hidden="1" x14ac:dyDescent="0.25">
      <c r="A477" s="462" t="s">
        <v>1405</v>
      </c>
      <c r="B477" s="471" t="s">
        <v>1406</v>
      </c>
      <c r="C477" s="464">
        <v>0</v>
      </c>
      <c r="D477" s="464">
        <v>0</v>
      </c>
      <c r="E477" s="465">
        <v>0</v>
      </c>
      <c r="F477" s="464">
        <v>0</v>
      </c>
      <c r="G477" s="459">
        <v>0</v>
      </c>
      <c r="H477" s="460"/>
      <c r="W477" s="431">
        <v>8513</v>
      </c>
    </row>
    <row r="478" spans="1:23" ht="25.5" hidden="1" x14ac:dyDescent="0.25">
      <c r="A478" s="462" t="s">
        <v>1407</v>
      </c>
      <c r="B478" s="471" t="s">
        <v>1408</v>
      </c>
      <c r="C478" s="464">
        <v>0</v>
      </c>
      <c r="D478" s="464">
        <v>0</v>
      </c>
      <c r="E478" s="465">
        <v>0</v>
      </c>
      <c r="F478" s="464">
        <v>0</v>
      </c>
      <c r="G478" s="459">
        <v>0</v>
      </c>
      <c r="H478" s="460"/>
      <c r="W478" s="431">
        <v>8514</v>
      </c>
    </row>
    <row r="479" spans="1:23" ht="25.5" hidden="1" x14ac:dyDescent="0.25">
      <c r="A479" s="462" t="s">
        <v>1409</v>
      </c>
      <c r="B479" s="471" t="s">
        <v>1410</v>
      </c>
      <c r="C479" s="464">
        <v>0</v>
      </c>
      <c r="D479" s="464">
        <v>0</v>
      </c>
      <c r="E479" s="465">
        <v>0</v>
      </c>
      <c r="F479" s="464">
        <v>0</v>
      </c>
      <c r="G479" s="459">
        <v>0</v>
      </c>
      <c r="H479" s="460"/>
      <c r="W479" s="431">
        <v>8515</v>
      </c>
    </row>
    <row r="480" spans="1:23" ht="25.5" hidden="1" x14ac:dyDescent="0.25">
      <c r="A480" s="462" t="s">
        <v>1411</v>
      </c>
      <c r="B480" s="471" t="s">
        <v>1412</v>
      </c>
      <c r="C480" s="464">
        <v>0</v>
      </c>
      <c r="D480" s="464">
        <v>0</v>
      </c>
      <c r="E480" s="465">
        <v>0</v>
      </c>
      <c r="F480" s="464">
        <v>0</v>
      </c>
      <c r="G480" s="459">
        <v>0</v>
      </c>
      <c r="H480" s="460"/>
      <c r="W480" s="431">
        <v>8516</v>
      </c>
    </row>
    <row r="481" spans="1:23" ht="25.5" hidden="1" x14ac:dyDescent="0.25">
      <c r="A481" s="462" t="s">
        <v>1413</v>
      </c>
      <c r="B481" s="471" t="s">
        <v>1414</v>
      </c>
      <c r="C481" s="464">
        <v>0</v>
      </c>
      <c r="D481" s="464">
        <v>0</v>
      </c>
      <c r="E481" s="465">
        <v>0</v>
      </c>
      <c r="F481" s="464">
        <v>0</v>
      </c>
      <c r="G481" s="459">
        <v>0</v>
      </c>
      <c r="H481" s="460"/>
      <c r="W481" s="431">
        <v>8517</v>
      </c>
    </row>
    <row r="482" spans="1:23" ht="25.5" hidden="1" x14ac:dyDescent="0.25">
      <c r="A482" s="462" t="s">
        <v>1415</v>
      </c>
      <c r="B482" s="471" t="s">
        <v>1416</v>
      </c>
      <c r="C482" s="464">
        <v>0</v>
      </c>
      <c r="D482" s="464">
        <v>0</v>
      </c>
      <c r="E482" s="465">
        <v>0</v>
      </c>
      <c r="F482" s="464">
        <v>0</v>
      </c>
      <c r="G482" s="459">
        <v>0</v>
      </c>
      <c r="H482" s="460"/>
      <c r="W482" s="431">
        <v>8518</v>
      </c>
    </row>
    <row r="483" spans="1:23" hidden="1" x14ac:dyDescent="0.25">
      <c r="A483" s="462" t="s">
        <v>1417</v>
      </c>
      <c r="B483" s="471" t="s">
        <v>1418</v>
      </c>
      <c r="C483" s="464">
        <v>0</v>
      </c>
      <c r="D483" s="464">
        <v>0</v>
      </c>
      <c r="E483" s="465">
        <v>0</v>
      </c>
      <c r="F483" s="464">
        <v>0</v>
      </c>
      <c r="G483" s="459">
        <v>0</v>
      </c>
      <c r="H483" s="460"/>
      <c r="W483" s="431">
        <v>8519</v>
      </c>
    </row>
    <row r="484" spans="1:23" ht="25.5" hidden="1" x14ac:dyDescent="0.25">
      <c r="A484" s="462" t="s">
        <v>1419</v>
      </c>
      <c r="B484" s="470" t="s">
        <v>1420</v>
      </c>
      <c r="C484" s="464">
        <v>0</v>
      </c>
      <c r="D484" s="464">
        <v>0</v>
      </c>
      <c r="E484" s="465">
        <v>0</v>
      </c>
      <c r="F484" s="464">
        <v>0</v>
      </c>
      <c r="G484" s="459">
        <v>0</v>
      </c>
      <c r="H484" s="460"/>
      <c r="W484" s="431">
        <v>8520</v>
      </c>
    </row>
    <row r="485" spans="1:23" ht="38.25" hidden="1" x14ac:dyDescent="0.25">
      <c r="A485" s="462" t="s">
        <v>1421</v>
      </c>
      <c r="B485" s="474" t="s">
        <v>1422</v>
      </c>
      <c r="C485" s="464">
        <v>0</v>
      </c>
      <c r="D485" s="464">
        <v>0</v>
      </c>
      <c r="E485" s="465">
        <v>0</v>
      </c>
      <c r="F485" s="464">
        <v>0</v>
      </c>
      <c r="G485" s="459">
        <v>0</v>
      </c>
      <c r="H485" s="460"/>
      <c r="W485" s="431">
        <v>8521</v>
      </c>
    </row>
    <row r="486" spans="1:23" ht="38.25" hidden="1" x14ac:dyDescent="0.25">
      <c r="A486" s="462" t="s">
        <v>1423</v>
      </c>
      <c r="B486" s="470" t="s">
        <v>1424</v>
      </c>
      <c r="C486" s="464">
        <v>0</v>
      </c>
      <c r="D486" s="464">
        <v>0</v>
      </c>
      <c r="E486" s="465">
        <v>0</v>
      </c>
      <c r="F486" s="464">
        <v>0</v>
      </c>
      <c r="G486" s="459">
        <v>0</v>
      </c>
      <c r="H486" s="460"/>
      <c r="W486" s="431">
        <v>8522</v>
      </c>
    </row>
    <row r="487" spans="1:23" ht="63.75" hidden="1" x14ac:dyDescent="0.25">
      <c r="A487" s="462" t="s">
        <v>1425</v>
      </c>
      <c r="B487" s="471" t="s">
        <v>1426</v>
      </c>
      <c r="C487" s="464">
        <v>0</v>
      </c>
      <c r="D487" s="464">
        <v>0</v>
      </c>
      <c r="E487" s="465">
        <v>0</v>
      </c>
      <c r="F487" s="464">
        <v>0</v>
      </c>
      <c r="G487" s="459">
        <v>0</v>
      </c>
      <c r="H487" s="460"/>
      <c r="W487" s="431">
        <v>8523</v>
      </c>
    </row>
    <row r="488" spans="1:23" ht="51" hidden="1" x14ac:dyDescent="0.25">
      <c r="A488" s="462" t="s">
        <v>1427</v>
      </c>
      <c r="B488" s="471" t="s">
        <v>1428</v>
      </c>
      <c r="C488" s="464">
        <v>0</v>
      </c>
      <c r="D488" s="464">
        <v>0</v>
      </c>
      <c r="E488" s="465">
        <v>0</v>
      </c>
      <c r="F488" s="464">
        <v>0</v>
      </c>
      <c r="G488" s="459">
        <v>0</v>
      </c>
      <c r="H488" s="460"/>
      <c r="W488" s="431">
        <v>8524</v>
      </c>
    </row>
    <row r="489" spans="1:23" ht="89.25" hidden="1" x14ac:dyDescent="0.25">
      <c r="A489" s="462" t="s">
        <v>1429</v>
      </c>
      <c r="B489" s="471" t="s">
        <v>1430</v>
      </c>
      <c r="C489" s="464">
        <v>0</v>
      </c>
      <c r="D489" s="464">
        <v>0</v>
      </c>
      <c r="E489" s="465">
        <v>0</v>
      </c>
      <c r="F489" s="464">
        <v>0</v>
      </c>
      <c r="G489" s="459">
        <v>0</v>
      </c>
      <c r="H489" s="460"/>
      <c r="W489" s="431">
        <v>8525</v>
      </c>
    </row>
    <row r="490" spans="1:23" ht="76.5" hidden="1" x14ac:dyDescent="0.25">
      <c r="A490" s="462" t="s">
        <v>1431</v>
      </c>
      <c r="B490" s="471" t="s">
        <v>1432</v>
      </c>
      <c r="C490" s="464">
        <v>0</v>
      </c>
      <c r="D490" s="464">
        <v>0</v>
      </c>
      <c r="E490" s="465">
        <v>0</v>
      </c>
      <c r="F490" s="464">
        <v>0</v>
      </c>
      <c r="G490" s="459">
        <v>0</v>
      </c>
      <c r="H490" s="460"/>
      <c r="W490" s="431">
        <v>8526</v>
      </c>
    </row>
    <row r="491" spans="1:23" ht="38.25" hidden="1" x14ac:dyDescent="0.25">
      <c r="A491" s="462" t="s">
        <v>1433</v>
      </c>
      <c r="B491" s="470" t="s">
        <v>1434</v>
      </c>
      <c r="C491" s="464">
        <v>0</v>
      </c>
      <c r="D491" s="464">
        <v>0</v>
      </c>
      <c r="E491" s="465">
        <v>0</v>
      </c>
      <c r="F491" s="464">
        <v>0</v>
      </c>
      <c r="G491" s="459">
        <v>0</v>
      </c>
      <c r="H491" s="460"/>
      <c r="W491" s="431">
        <v>8527</v>
      </c>
    </row>
    <row r="492" spans="1:23" ht="63.75" hidden="1" x14ac:dyDescent="0.25">
      <c r="A492" s="462" t="s">
        <v>1435</v>
      </c>
      <c r="B492" s="471" t="s">
        <v>1436</v>
      </c>
      <c r="C492" s="464">
        <v>0</v>
      </c>
      <c r="D492" s="464">
        <v>0</v>
      </c>
      <c r="E492" s="465">
        <v>0</v>
      </c>
      <c r="F492" s="464">
        <v>0</v>
      </c>
      <c r="G492" s="459">
        <v>0</v>
      </c>
      <c r="H492" s="460"/>
      <c r="W492" s="431">
        <v>8528</v>
      </c>
    </row>
    <row r="493" spans="1:23" ht="51" hidden="1" x14ac:dyDescent="0.25">
      <c r="A493" s="462" t="s">
        <v>1437</v>
      </c>
      <c r="B493" s="471" t="s">
        <v>1438</v>
      </c>
      <c r="C493" s="464">
        <v>0</v>
      </c>
      <c r="D493" s="464">
        <v>0</v>
      </c>
      <c r="E493" s="465">
        <v>0</v>
      </c>
      <c r="F493" s="464">
        <v>0</v>
      </c>
      <c r="G493" s="459">
        <v>0</v>
      </c>
      <c r="H493" s="460"/>
      <c r="W493" s="431">
        <v>8529</v>
      </c>
    </row>
    <row r="494" spans="1:23" ht="25.5" hidden="1" x14ac:dyDescent="0.25">
      <c r="A494" s="462" t="s">
        <v>1439</v>
      </c>
      <c r="B494" s="474" t="s">
        <v>1440</v>
      </c>
      <c r="C494" s="464">
        <v>0</v>
      </c>
      <c r="D494" s="464">
        <v>0</v>
      </c>
      <c r="E494" s="465">
        <v>0</v>
      </c>
      <c r="F494" s="464">
        <v>0</v>
      </c>
      <c r="G494" s="459">
        <v>0</v>
      </c>
      <c r="H494" s="460"/>
      <c r="W494" s="431">
        <v>8530</v>
      </c>
    </row>
    <row r="495" spans="1:23" hidden="1" x14ac:dyDescent="0.25">
      <c r="A495" s="462" t="s">
        <v>1441</v>
      </c>
      <c r="B495" s="474" t="s">
        <v>1442</v>
      </c>
      <c r="C495" s="464">
        <v>0</v>
      </c>
      <c r="D495" s="464">
        <v>0</v>
      </c>
      <c r="E495" s="465">
        <v>0</v>
      </c>
      <c r="F495" s="464">
        <v>0</v>
      </c>
      <c r="G495" s="459">
        <v>0</v>
      </c>
      <c r="H495" s="460"/>
      <c r="W495" s="431">
        <v>8531</v>
      </c>
    </row>
    <row r="496" spans="1:23" ht="25.5" hidden="1" x14ac:dyDescent="0.25">
      <c r="A496" s="462" t="s">
        <v>1443</v>
      </c>
      <c r="B496" s="470" t="s">
        <v>1444</v>
      </c>
      <c r="C496" s="464">
        <v>0</v>
      </c>
      <c r="D496" s="464">
        <v>0</v>
      </c>
      <c r="E496" s="465">
        <v>0</v>
      </c>
      <c r="F496" s="464">
        <v>0</v>
      </c>
      <c r="G496" s="459">
        <v>0</v>
      </c>
      <c r="H496" s="460"/>
      <c r="W496" s="431">
        <v>8532</v>
      </c>
    </row>
    <row r="497" spans="1:23" ht="25.5" hidden="1" x14ac:dyDescent="0.25">
      <c r="A497" s="462" t="s">
        <v>1445</v>
      </c>
      <c r="B497" s="471" t="s">
        <v>1446</v>
      </c>
      <c r="C497" s="464">
        <v>0</v>
      </c>
      <c r="D497" s="464">
        <v>0</v>
      </c>
      <c r="E497" s="465">
        <v>0</v>
      </c>
      <c r="F497" s="464">
        <v>0</v>
      </c>
      <c r="G497" s="459">
        <v>0</v>
      </c>
      <c r="H497" s="460"/>
      <c r="W497" s="431">
        <v>8533</v>
      </c>
    </row>
    <row r="498" spans="1:23" ht="25.5" hidden="1" x14ac:dyDescent="0.25">
      <c r="A498" s="462" t="s">
        <v>1447</v>
      </c>
      <c r="B498" s="471" t="s">
        <v>1448</v>
      </c>
      <c r="C498" s="464">
        <v>0</v>
      </c>
      <c r="D498" s="464">
        <v>0</v>
      </c>
      <c r="E498" s="465">
        <v>0</v>
      </c>
      <c r="F498" s="464">
        <v>0</v>
      </c>
      <c r="G498" s="459">
        <v>0</v>
      </c>
      <c r="H498" s="460"/>
      <c r="W498" s="431">
        <v>8534</v>
      </c>
    </row>
    <row r="499" spans="1:23" ht="25.5" hidden="1" x14ac:dyDescent="0.25">
      <c r="A499" s="462" t="s">
        <v>1449</v>
      </c>
      <c r="B499" s="471" t="s">
        <v>1450</v>
      </c>
      <c r="C499" s="464">
        <v>0</v>
      </c>
      <c r="D499" s="464">
        <v>0</v>
      </c>
      <c r="E499" s="465">
        <v>0</v>
      </c>
      <c r="F499" s="464">
        <v>0</v>
      </c>
      <c r="G499" s="459">
        <v>0</v>
      </c>
      <c r="H499" s="460"/>
      <c r="W499" s="431">
        <v>8535</v>
      </c>
    </row>
    <row r="500" spans="1:23" ht="25.5" hidden="1" x14ac:dyDescent="0.25">
      <c r="A500" s="462" t="s">
        <v>1451</v>
      </c>
      <c r="B500" s="471" t="s">
        <v>1452</v>
      </c>
      <c r="C500" s="464">
        <v>0</v>
      </c>
      <c r="D500" s="464">
        <v>0</v>
      </c>
      <c r="E500" s="465">
        <v>0</v>
      </c>
      <c r="F500" s="464">
        <v>0</v>
      </c>
      <c r="G500" s="459">
        <v>0</v>
      </c>
      <c r="H500" s="460"/>
      <c r="W500" s="431">
        <v>8536</v>
      </c>
    </row>
    <row r="501" spans="1:23" ht="25.5" hidden="1" x14ac:dyDescent="0.25">
      <c r="A501" s="462" t="s">
        <v>1453</v>
      </c>
      <c r="B501" s="471" t="s">
        <v>1454</v>
      </c>
      <c r="C501" s="464">
        <v>0</v>
      </c>
      <c r="D501" s="464">
        <v>0</v>
      </c>
      <c r="E501" s="465">
        <v>0</v>
      </c>
      <c r="F501" s="464">
        <v>0</v>
      </c>
      <c r="G501" s="459">
        <v>0</v>
      </c>
      <c r="H501" s="460"/>
      <c r="W501" s="431">
        <v>8537</v>
      </c>
    </row>
    <row r="502" spans="1:23" ht="25.5" hidden="1" x14ac:dyDescent="0.25">
      <c r="A502" s="462" t="s">
        <v>1455</v>
      </c>
      <c r="B502" s="471" t="s">
        <v>1456</v>
      </c>
      <c r="C502" s="464">
        <v>0</v>
      </c>
      <c r="D502" s="464">
        <v>0</v>
      </c>
      <c r="E502" s="465">
        <v>0</v>
      </c>
      <c r="F502" s="464">
        <v>0</v>
      </c>
      <c r="G502" s="459">
        <v>0</v>
      </c>
      <c r="H502" s="460"/>
      <c r="W502" s="431">
        <v>8538</v>
      </c>
    </row>
    <row r="503" spans="1:23" ht="25.5" hidden="1" x14ac:dyDescent="0.25">
      <c r="A503" s="462" t="s">
        <v>1457</v>
      </c>
      <c r="B503" s="471" t="s">
        <v>1458</v>
      </c>
      <c r="C503" s="464">
        <v>0</v>
      </c>
      <c r="D503" s="464">
        <v>0</v>
      </c>
      <c r="E503" s="465">
        <v>0</v>
      </c>
      <c r="F503" s="464">
        <v>0</v>
      </c>
      <c r="G503" s="459">
        <v>0</v>
      </c>
      <c r="H503" s="460"/>
      <c r="W503" s="431">
        <v>8539</v>
      </c>
    </row>
    <row r="504" spans="1:23" ht="25.5" hidden="1" x14ac:dyDescent="0.25">
      <c r="A504" s="462" t="s">
        <v>1459</v>
      </c>
      <c r="B504" s="471" t="s">
        <v>1460</v>
      </c>
      <c r="C504" s="464">
        <v>0</v>
      </c>
      <c r="D504" s="464">
        <v>0</v>
      </c>
      <c r="E504" s="465">
        <v>0</v>
      </c>
      <c r="F504" s="464">
        <v>0</v>
      </c>
      <c r="G504" s="459">
        <v>0</v>
      </c>
      <c r="H504" s="460"/>
      <c r="W504" s="431">
        <v>8540</v>
      </c>
    </row>
    <row r="505" spans="1:23" ht="38.25" hidden="1" x14ac:dyDescent="0.25">
      <c r="A505" s="462" t="s">
        <v>1461</v>
      </c>
      <c r="B505" s="471" t="s">
        <v>1462</v>
      </c>
      <c r="C505" s="464">
        <v>0</v>
      </c>
      <c r="D505" s="464">
        <v>0</v>
      </c>
      <c r="E505" s="465">
        <v>0</v>
      </c>
      <c r="F505" s="464">
        <v>0</v>
      </c>
      <c r="G505" s="459">
        <v>0</v>
      </c>
      <c r="H505" s="460"/>
      <c r="W505" s="431">
        <v>8541</v>
      </c>
    </row>
    <row r="506" spans="1:23" hidden="1" x14ac:dyDescent="0.25">
      <c r="A506" s="462" t="s">
        <v>1463</v>
      </c>
      <c r="B506" s="470" t="s">
        <v>1464</v>
      </c>
      <c r="C506" s="464">
        <v>0</v>
      </c>
      <c r="D506" s="464">
        <v>0</v>
      </c>
      <c r="E506" s="465">
        <v>0</v>
      </c>
      <c r="F506" s="464">
        <v>0</v>
      </c>
      <c r="G506" s="459">
        <v>0</v>
      </c>
      <c r="H506" s="460"/>
      <c r="W506" s="431">
        <v>8542</v>
      </c>
    </row>
    <row r="507" spans="1:23" x14ac:dyDescent="0.25">
      <c r="A507" s="462" t="s">
        <v>1465</v>
      </c>
      <c r="B507" s="474" t="s">
        <v>1466</v>
      </c>
      <c r="C507" s="464">
        <v>191340</v>
      </c>
      <c r="D507" s="464">
        <v>47835</v>
      </c>
      <c r="E507" s="465">
        <v>25</v>
      </c>
      <c r="F507" s="464">
        <v>15945</v>
      </c>
      <c r="G507" s="459">
        <v>31890</v>
      </c>
      <c r="H507" s="460"/>
      <c r="W507" s="431">
        <v>8543</v>
      </c>
    </row>
    <row r="508" spans="1:23" ht="25.5" x14ac:dyDescent="0.25">
      <c r="A508" s="479" t="s">
        <v>156</v>
      </c>
      <c r="B508" s="480" t="s">
        <v>1467</v>
      </c>
      <c r="C508" s="481">
        <v>191340</v>
      </c>
      <c r="D508" s="481">
        <v>47835</v>
      </c>
      <c r="E508" s="482">
        <v>25</v>
      </c>
      <c r="F508" s="481">
        <v>15945</v>
      </c>
      <c r="G508" s="459">
        <v>31890</v>
      </c>
      <c r="H508" s="460"/>
      <c r="W508" s="431">
        <v>8544</v>
      </c>
    </row>
    <row r="509" spans="1:23" ht="51" hidden="1" x14ac:dyDescent="0.25">
      <c r="A509" s="462" t="s">
        <v>1468</v>
      </c>
      <c r="B509" s="470" t="s">
        <v>1469</v>
      </c>
      <c r="C509" s="464">
        <v>0</v>
      </c>
      <c r="D509" s="464">
        <v>0</v>
      </c>
      <c r="E509" s="465">
        <v>0</v>
      </c>
      <c r="F509" s="464">
        <v>0</v>
      </c>
      <c r="G509" s="459">
        <v>0</v>
      </c>
      <c r="H509" s="460"/>
      <c r="W509" s="431">
        <v>8545</v>
      </c>
    </row>
    <row r="510" spans="1:23" ht="25.5" hidden="1" x14ac:dyDescent="0.25">
      <c r="A510" s="462" t="s">
        <v>1470</v>
      </c>
      <c r="B510" s="470" t="s">
        <v>1471</v>
      </c>
      <c r="C510" s="464">
        <v>0</v>
      </c>
      <c r="D510" s="464">
        <v>0</v>
      </c>
      <c r="E510" s="465">
        <v>0</v>
      </c>
      <c r="F510" s="464">
        <v>0</v>
      </c>
      <c r="G510" s="459">
        <v>0</v>
      </c>
      <c r="H510" s="460"/>
      <c r="W510" s="431">
        <v>8546</v>
      </c>
    </row>
    <row r="511" spans="1:23" ht="25.5" hidden="1" x14ac:dyDescent="0.25">
      <c r="A511" s="462" t="s">
        <v>201</v>
      </c>
      <c r="B511" s="470" t="s">
        <v>1472</v>
      </c>
      <c r="C511" s="464">
        <v>0</v>
      </c>
      <c r="D511" s="464">
        <v>0</v>
      </c>
      <c r="E511" s="465">
        <v>0</v>
      </c>
      <c r="F511" s="464">
        <v>0</v>
      </c>
      <c r="G511" s="459">
        <v>0</v>
      </c>
      <c r="H511" s="460"/>
      <c r="W511" s="431">
        <v>8547</v>
      </c>
    </row>
    <row r="512" spans="1:23" hidden="1" x14ac:dyDescent="0.25">
      <c r="A512" s="462" t="s">
        <v>1473</v>
      </c>
      <c r="B512" s="463" t="s">
        <v>1474</v>
      </c>
      <c r="C512" s="464">
        <v>0</v>
      </c>
      <c r="D512" s="464">
        <v>0</v>
      </c>
      <c r="E512" s="465">
        <v>0</v>
      </c>
      <c r="F512" s="464">
        <v>0</v>
      </c>
      <c r="G512" s="459">
        <v>0</v>
      </c>
      <c r="H512" s="460"/>
      <c r="W512" s="431">
        <v>8548</v>
      </c>
    </row>
    <row r="513" spans="1:23" ht="25.5" hidden="1" x14ac:dyDescent="0.25">
      <c r="A513" s="462" t="s">
        <v>1475</v>
      </c>
      <c r="B513" s="474" t="s">
        <v>1476</v>
      </c>
      <c r="C513" s="464">
        <v>0</v>
      </c>
      <c r="D513" s="464">
        <v>0</v>
      </c>
      <c r="E513" s="465">
        <v>0</v>
      </c>
      <c r="F513" s="464">
        <v>0</v>
      </c>
      <c r="G513" s="459">
        <v>0</v>
      </c>
      <c r="H513" s="460"/>
      <c r="W513" s="431">
        <v>8549</v>
      </c>
    </row>
    <row r="514" spans="1:23" hidden="1" x14ac:dyDescent="0.25">
      <c r="A514" s="462" t="s">
        <v>1477</v>
      </c>
      <c r="B514" s="474" t="s">
        <v>1478</v>
      </c>
      <c r="C514" s="464">
        <v>0</v>
      </c>
      <c r="D514" s="464">
        <v>0</v>
      </c>
      <c r="E514" s="465">
        <v>0</v>
      </c>
      <c r="F514" s="464">
        <v>0</v>
      </c>
      <c r="G514" s="459">
        <v>0</v>
      </c>
      <c r="H514" s="460"/>
      <c r="W514" s="431">
        <v>8550</v>
      </c>
    </row>
    <row r="515" spans="1:23" hidden="1" x14ac:dyDescent="0.25">
      <c r="A515" s="462" t="s">
        <v>1479</v>
      </c>
      <c r="B515" s="474" t="s">
        <v>1480</v>
      </c>
      <c r="C515" s="464">
        <v>0</v>
      </c>
      <c r="D515" s="464">
        <v>0</v>
      </c>
      <c r="E515" s="465">
        <v>0</v>
      </c>
      <c r="F515" s="464">
        <v>0</v>
      </c>
      <c r="G515" s="459">
        <v>0</v>
      </c>
      <c r="H515" s="460"/>
      <c r="W515" s="431">
        <v>8551</v>
      </c>
    </row>
    <row r="516" spans="1:23" hidden="1" x14ac:dyDescent="0.25">
      <c r="A516" s="462" t="s">
        <v>1481</v>
      </c>
      <c r="B516" s="474" t="s">
        <v>1482</v>
      </c>
      <c r="C516" s="464">
        <v>0</v>
      </c>
      <c r="D516" s="464">
        <v>0</v>
      </c>
      <c r="E516" s="465">
        <v>0</v>
      </c>
      <c r="F516" s="464">
        <v>0</v>
      </c>
      <c r="G516" s="459">
        <v>0</v>
      </c>
      <c r="H516" s="460"/>
      <c r="W516" s="431">
        <v>8552</v>
      </c>
    </row>
    <row r="517" spans="1:23" ht="25.5" hidden="1" x14ac:dyDescent="0.25">
      <c r="A517" s="462" t="s">
        <v>1483</v>
      </c>
      <c r="B517" s="470" t="s">
        <v>1484</v>
      </c>
      <c r="C517" s="464">
        <v>0</v>
      </c>
      <c r="D517" s="464">
        <v>0</v>
      </c>
      <c r="E517" s="465">
        <v>0</v>
      </c>
      <c r="F517" s="464">
        <v>0</v>
      </c>
      <c r="G517" s="459">
        <v>0</v>
      </c>
      <c r="H517" s="460"/>
      <c r="W517" s="431">
        <v>8553</v>
      </c>
    </row>
    <row r="518" spans="1:23" ht="38.25" hidden="1" x14ac:dyDescent="0.25">
      <c r="A518" s="462" t="s">
        <v>1485</v>
      </c>
      <c r="B518" s="470" t="s">
        <v>1486</v>
      </c>
      <c r="C518" s="464">
        <v>0</v>
      </c>
      <c r="D518" s="464">
        <v>0</v>
      </c>
      <c r="E518" s="465">
        <v>0</v>
      </c>
      <c r="F518" s="464">
        <v>0</v>
      </c>
      <c r="G518" s="459">
        <v>0</v>
      </c>
      <c r="H518" s="460"/>
      <c r="W518" s="431">
        <v>8554</v>
      </c>
    </row>
    <row r="519" spans="1:23" ht="51" hidden="1" x14ac:dyDescent="0.25">
      <c r="A519" s="462" t="s">
        <v>1487</v>
      </c>
      <c r="B519" s="470" t="s">
        <v>1488</v>
      </c>
      <c r="C519" s="464">
        <v>0</v>
      </c>
      <c r="D519" s="464">
        <v>0</v>
      </c>
      <c r="E519" s="465">
        <v>0</v>
      </c>
      <c r="F519" s="464">
        <v>0</v>
      </c>
      <c r="G519" s="459">
        <v>0</v>
      </c>
      <c r="H519" s="460"/>
      <c r="W519" s="431">
        <v>8555</v>
      </c>
    </row>
    <row r="520" spans="1:23" ht="38.25" hidden="1" x14ac:dyDescent="0.25">
      <c r="A520" s="462" t="s">
        <v>1489</v>
      </c>
      <c r="B520" s="474" t="s">
        <v>1490</v>
      </c>
      <c r="C520" s="464">
        <v>0</v>
      </c>
      <c r="D520" s="464">
        <v>0</v>
      </c>
      <c r="E520" s="465">
        <v>0</v>
      </c>
      <c r="F520" s="464">
        <v>0</v>
      </c>
      <c r="G520" s="459">
        <v>0</v>
      </c>
      <c r="H520" s="460"/>
      <c r="W520" s="431">
        <v>8556</v>
      </c>
    </row>
    <row r="521" spans="1:23" s="469" customFormat="1" hidden="1" x14ac:dyDescent="0.25">
      <c r="A521" s="455" t="s">
        <v>1491</v>
      </c>
      <c r="B521" s="461" t="s">
        <v>1492</v>
      </c>
      <c r="C521" s="457">
        <v>0</v>
      </c>
      <c r="D521" s="457">
        <v>0</v>
      </c>
      <c r="E521" s="458">
        <v>0</v>
      </c>
      <c r="F521" s="457">
        <v>0</v>
      </c>
      <c r="G521" s="467">
        <v>0</v>
      </c>
      <c r="H521" s="468"/>
      <c r="W521" s="469">
        <v>8557</v>
      </c>
    </row>
    <row r="522" spans="1:23" hidden="1" x14ac:dyDescent="0.25">
      <c r="A522" s="462" t="s">
        <v>1493</v>
      </c>
      <c r="B522" s="463" t="s">
        <v>1494</v>
      </c>
      <c r="C522" s="464">
        <v>0</v>
      </c>
      <c r="D522" s="464">
        <v>0</v>
      </c>
      <c r="E522" s="465">
        <v>0</v>
      </c>
      <c r="F522" s="464">
        <v>0</v>
      </c>
      <c r="G522" s="459">
        <v>0</v>
      </c>
      <c r="H522" s="460"/>
      <c r="W522" s="431">
        <v>8558</v>
      </c>
    </row>
    <row r="523" spans="1:23" ht="25.5" hidden="1" x14ac:dyDescent="0.25">
      <c r="A523" s="462" t="s">
        <v>1495</v>
      </c>
      <c r="B523" s="474" t="s">
        <v>1496</v>
      </c>
      <c r="C523" s="464">
        <v>0</v>
      </c>
      <c r="D523" s="464">
        <v>0</v>
      </c>
      <c r="E523" s="465">
        <v>0</v>
      </c>
      <c r="F523" s="464">
        <v>0</v>
      </c>
      <c r="G523" s="459">
        <v>0</v>
      </c>
      <c r="H523" s="460"/>
      <c r="W523" s="431">
        <v>8559</v>
      </c>
    </row>
    <row r="524" spans="1:23" ht="25.5" hidden="1" x14ac:dyDescent="0.25">
      <c r="A524" s="462" t="s">
        <v>1497</v>
      </c>
      <c r="B524" s="470" t="s">
        <v>1498</v>
      </c>
      <c r="C524" s="464">
        <v>0</v>
      </c>
      <c r="D524" s="464">
        <v>0</v>
      </c>
      <c r="E524" s="465">
        <v>0</v>
      </c>
      <c r="F524" s="464">
        <v>0</v>
      </c>
      <c r="G524" s="459">
        <v>0</v>
      </c>
      <c r="H524" s="460"/>
      <c r="W524" s="431">
        <v>8560</v>
      </c>
    </row>
    <row r="525" spans="1:23" ht="25.5" hidden="1" x14ac:dyDescent="0.25">
      <c r="A525" s="462" t="s">
        <v>1499</v>
      </c>
      <c r="B525" s="470" t="s">
        <v>1500</v>
      </c>
      <c r="C525" s="464">
        <v>0</v>
      </c>
      <c r="D525" s="464">
        <v>0</v>
      </c>
      <c r="E525" s="465">
        <v>0</v>
      </c>
      <c r="F525" s="464">
        <v>0</v>
      </c>
      <c r="G525" s="459">
        <v>0</v>
      </c>
      <c r="H525" s="460"/>
      <c r="W525" s="431">
        <v>8561</v>
      </c>
    </row>
    <row r="526" spans="1:23" ht="25.5" hidden="1" x14ac:dyDescent="0.25">
      <c r="A526" s="462" t="s">
        <v>1501</v>
      </c>
      <c r="B526" s="474" t="s">
        <v>1502</v>
      </c>
      <c r="C526" s="464">
        <v>0</v>
      </c>
      <c r="D526" s="464">
        <v>0</v>
      </c>
      <c r="E526" s="465">
        <v>0</v>
      </c>
      <c r="F526" s="464">
        <v>0</v>
      </c>
      <c r="G526" s="459">
        <v>0</v>
      </c>
      <c r="H526" s="460"/>
      <c r="W526" s="431">
        <v>8562</v>
      </c>
    </row>
    <row r="527" spans="1:23" ht="25.5" hidden="1" x14ac:dyDescent="0.25">
      <c r="A527" s="462" t="s">
        <v>1503</v>
      </c>
      <c r="B527" s="474" t="s">
        <v>1504</v>
      </c>
      <c r="C527" s="464">
        <v>0</v>
      </c>
      <c r="D527" s="464">
        <v>0</v>
      </c>
      <c r="E527" s="465">
        <v>0</v>
      </c>
      <c r="F527" s="464">
        <v>0</v>
      </c>
      <c r="G527" s="459">
        <v>0</v>
      </c>
      <c r="H527" s="460"/>
      <c r="W527" s="431">
        <v>8563</v>
      </c>
    </row>
    <row r="528" spans="1:23" hidden="1" x14ac:dyDescent="0.25">
      <c r="A528" s="462" t="s">
        <v>1505</v>
      </c>
      <c r="B528" s="470" t="s">
        <v>1506</v>
      </c>
      <c r="C528" s="464">
        <v>0</v>
      </c>
      <c r="D528" s="464">
        <v>0</v>
      </c>
      <c r="E528" s="465">
        <v>0</v>
      </c>
      <c r="F528" s="464">
        <v>0</v>
      </c>
      <c r="G528" s="459">
        <v>0</v>
      </c>
      <c r="H528" s="460"/>
      <c r="W528" s="431">
        <v>8564</v>
      </c>
    </row>
    <row r="529" spans="1:23" hidden="1" x14ac:dyDescent="0.25">
      <c r="A529" s="462" t="s">
        <v>1507</v>
      </c>
      <c r="B529" s="470" t="s">
        <v>1508</v>
      </c>
      <c r="C529" s="464">
        <v>0</v>
      </c>
      <c r="D529" s="464">
        <v>0</v>
      </c>
      <c r="E529" s="465">
        <v>0</v>
      </c>
      <c r="F529" s="464">
        <v>0</v>
      </c>
      <c r="G529" s="459">
        <v>0</v>
      </c>
      <c r="H529" s="460"/>
      <c r="W529" s="431">
        <v>8565</v>
      </c>
    </row>
    <row r="530" spans="1:23" ht="25.5" hidden="1" x14ac:dyDescent="0.25">
      <c r="A530" s="462" t="s">
        <v>1509</v>
      </c>
      <c r="B530" s="474" t="s">
        <v>1510</v>
      </c>
      <c r="C530" s="464">
        <v>0</v>
      </c>
      <c r="D530" s="464">
        <v>0</v>
      </c>
      <c r="E530" s="465">
        <v>0</v>
      </c>
      <c r="F530" s="464">
        <v>0</v>
      </c>
      <c r="G530" s="459">
        <v>0</v>
      </c>
      <c r="H530" s="460"/>
      <c r="W530" s="431">
        <v>8566</v>
      </c>
    </row>
    <row r="531" spans="1:23" hidden="1" x14ac:dyDescent="0.25">
      <c r="A531" s="462" t="s">
        <v>1511</v>
      </c>
      <c r="B531" s="470" t="s">
        <v>1512</v>
      </c>
      <c r="C531" s="464">
        <v>0</v>
      </c>
      <c r="D531" s="464">
        <v>0</v>
      </c>
      <c r="E531" s="465">
        <v>0</v>
      </c>
      <c r="F531" s="464">
        <v>0</v>
      </c>
      <c r="G531" s="459">
        <v>0</v>
      </c>
      <c r="H531" s="460"/>
      <c r="W531" s="431">
        <v>8567</v>
      </c>
    </row>
    <row r="532" spans="1:23" hidden="1" x14ac:dyDescent="0.25">
      <c r="A532" s="462" t="s">
        <v>1513</v>
      </c>
      <c r="B532" s="470" t="s">
        <v>1514</v>
      </c>
      <c r="C532" s="464">
        <v>0</v>
      </c>
      <c r="D532" s="464">
        <v>0</v>
      </c>
      <c r="E532" s="465">
        <v>0</v>
      </c>
      <c r="F532" s="464">
        <v>0</v>
      </c>
      <c r="G532" s="459">
        <v>0</v>
      </c>
      <c r="H532" s="460"/>
      <c r="W532" s="431">
        <v>8568</v>
      </c>
    </row>
    <row r="533" spans="1:23" s="469" customFormat="1" hidden="1" x14ac:dyDescent="0.25">
      <c r="A533" s="455" t="s">
        <v>1515</v>
      </c>
      <c r="B533" s="461" t="s">
        <v>1516</v>
      </c>
      <c r="C533" s="457">
        <v>0</v>
      </c>
      <c r="D533" s="457">
        <v>0</v>
      </c>
      <c r="E533" s="458">
        <v>0</v>
      </c>
      <c r="F533" s="457">
        <v>0</v>
      </c>
      <c r="G533" s="467">
        <v>0</v>
      </c>
      <c r="H533" s="468"/>
      <c r="W533" s="469">
        <v>8569</v>
      </c>
    </row>
    <row r="534" spans="1:23" hidden="1" x14ac:dyDescent="0.25">
      <c r="A534" s="462" t="s">
        <v>1517</v>
      </c>
      <c r="B534" s="463" t="s">
        <v>1516</v>
      </c>
      <c r="C534" s="464">
        <v>0</v>
      </c>
      <c r="D534" s="464">
        <v>0</v>
      </c>
      <c r="E534" s="465">
        <v>0</v>
      </c>
      <c r="F534" s="464">
        <v>0</v>
      </c>
      <c r="G534" s="459">
        <v>0</v>
      </c>
      <c r="H534" s="460"/>
      <c r="W534" s="431">
        <v>8570</v>
      </c>
    </row>
    <row r="535" spans="1:23" ht="25.5" hidden="1" x14ac:dyDescent="0.25">
      <c r="A535" s="462" t="s">
        <v>1518</v>
      </c>
      <c r="B535" s="474" t="s">
        <v>1519</v>
      </c>
      <c r="C535" s="464">
        <v>0</v>
      </c>
      <c r="D535" s="464">
        <v>0</v>
      </c>
      <c r="E535" s="465">
        <v>0</v>
      </c>
      <c r="F535" s="464">
        <v>0</v>
      </c>
      <c r="G535" s="459">
        <v>0</v>
      </c>
      <c r="H535" s="460"/>
      <c r="W535" s="431">
        <v>8571</v>
      </c>
    </row>
    <row r="536" spans="1:23" ht="25.5" hidden="1" x14ac:dyDescent="0.25">
      <c r="A536" s="462" t="s">
        <v>1520</v>
      </c>
      <c r="B536" s="474" t="s">
        <v>1521</v>
      </c>
      <c r="C536" s="464">
        <v>0</v>
      </c>
      <c r="D536" s="464">
        <v>0</v>
      </c>
      <c r="E536" s="465">
        <v>0</v>
      </c>
      <c r="F536" s="464">
        <v>0</v>
      </c>
      <c r="G536" s="459">
        <v>0</v>
      </c>
      <c r="H536" s="460"/>
      <c r="W536" s="431">
        <v>8572</v>
      </c>
    </row>
    <row r="537" spans="1:23" x14ac:dyDescent="0.25">
      <c r="A537" s="483" t="s">
        <v>1522</v>
      </c>
      <c r="B537" s="483" t="s">
        <v>1523</v>
      </c>
      <c r="C537" s="484">
        <v>265705</v>
      </c>
      <c r="D537" s="484">
        <v>78764</v>
      </c>
      <c r="E537" s="485">
        <v>29.64</v>
      </c>
      <c r="F537" s="457">
        <v>17130</v>
      </c>
      <c r="G537" s="486">
        <v>61634</v>
      </c>
      <c r="W537" s="431">
        <v>8573</v>
      </c>
    </row>
    <row r="538" spans="1:23" x14ac:dyDescent="0.25">
      <c r="A538" s="483" t="s">
        <v>1524</v>
      </c>
      <c r="B538" s="487" t="s">
        <v>1525</v>
      </c>
      <c r="C538" s="488">
        <v>265705</v>
      </c>
      <c r="D538" s="488">
        <v>78764</v>
      </c>
      <c r="E538" s="485">
        <v>29.64</v>
      </c>
      <c r="F538" s="457">
        <v>17130</v>
      </c>
      <c r="G538" s="486">
        <v>61634</v>
      </c>
      <c r="W538" s="431">
        <v>8574</v>
      </c>
    </row>
    <row r="539" spans="1:23" hidden="1" x14ac:dyDescent="0.25">
      <c r="A539" s="489" t="s">
        <v>1526</v>
      </c>
      <c r="B539" s="490" t="s">
        <v>313</v>
      </c>
      <c r="C539" s="491">
        <v>0</v>
      </c>
      <c r="D539" s="491">
        <v>0</v>
      </c>
      <c r="E539" s="492">
        <v>0</v>
      </c>
      <c r="F539" s="464">
        <v>0</v>
      </c>
      <c r="G539" s="486">
        <v>0</v>
      </c>
      <c r="W539" s="431">
        <v>8575</v>
      </c>
    </row>
    <row r="540" spans="1:23" hidden="1" x14ac:dyDescent="0.25">
      <c r="A540" s="489" t="s">
        <v>1527</v>
      </c>
      <c r="B540" s="490" t="s">
        <v>1528</v>
      </c>
      <c r="C540" s="491">
        <v>0</v>
      </c>
      <c r="D540" s="491">
        <v>0</v>
      </c>
      <c r="E540" s="492">
        <v>0</v>
      </c>
      <c r="F540" s="464">
        <v>0</v>
      </c>
      <c r="G540" s="486">
        <v>0</v>
      </c>
      <c r="W540" s="431">
        <v>8576</v>
      </c>
    </row>
    <row r="541" spans="1:23" hidden="1" x14ac:dyDescent="0.25">
      <c r="A541" s="489" t="s">
        <v>1529</v>
      </c>
      <c r="B541" s="490" t="s">
        <v>336</v>
      </c>
      <c r="C541" s="491">
        <v>0</v>
      </c>
      <c r="D541" s="491">
        <v>0</v>
      </c>
      <c r="E541" s="492">
        <v>0</v>
      </c>
      <c r="F541" s="464">
        <v>0</v>
      </c>
      <c r="G541" s="486">
        <v>0</v>
      </c>
      <c r="W541" s="431">
        <v>8577</v>
      </c>
    </row>
    <row r="542" spans="1:23" hidden="1" x14ac:dyDescent="0.25">
      <c r="A542" s="489" t="s">
        <v>1530</v>
      </c>
      <c r="B542" s="490" t="s">
        <v>1531</v>
      </c>
      <c r="C542" s="491">
        <v>0</v>
      </c>
      <c r="D542" s="491">
        <v>0</v>
      </c>
      <c r="E542" s="492">
        <v>0</v>
      </c>
      <c r="F542" s="464">
        <v>0</v>
      </c>
      <c r="G542" s="486">
        <v>0</v>
      </c>
      <c r="W542" s="431">
        <v>8578</v>
      </c>
    </row>
    <row r="543" spans="1:23" x14ac:dyDescent="0.25">
      <c r="A543" s="489" t="s">
        <v>1532</v>
      </c>
      <c r="B543" s="490" t="s">
        <v>1533</v>
      </c>
      <c r="C543" s="491">
        <v>29159</v>
      </c>
      <c r="D543" s="491">
        <v>0</v>
      </c>
      <c r="E543" s="492">
        <v>0</v>
      </c>
      <c r="F543" s="464">
        <v>0</v>
      </c>
      <c r="G543" s="486">
        <v>0</v>
      </c>
      <c r="W543" s="431">
        <v>8579</v>
      </c>
    </row>
    <row r="544" spans="1:23" x14ac:dyDescent="0.25">
      <c r="A544" s="489" t="s">
        <v>1534</v>
      </c>
      <c r="B544" s="490" t="s">
        <v>1535</v>
      </c>
      <c r="C544" s="491">
        <v>236546</v>
      </c>
      <c r="D544" s="491">
        <v>78764</v>
      </c>
      <c r="E544" s="492">
        <v>33.299999999999997</v>
      </c>
      <c r="F544" s="464">
        <v>17130</v>
      </c>
      <c r="G544" s="486">
        <v>61634</v>
      </c>
      <c r="W544" s="431">
        <v>8580</v>
      </c>
    </row>
    <row r="545" spans="1:23" hidden="1" x14ac:dyDescent="0.25">
      <c r="A545" s="489" t="s">
        <v>1536</v>
      </c>
      <c r="B545" s="490" t="s">
        <v>1537</v>
      </c>
      <c r="C545" s="491">
        <v>0</v>
      </c>
      <c r="D545" s="491">
        <v>0</v>
      </c>
      <c r="E545" s="492">
        <v>0</v>
      </c>
      <c r="F545" s="464">
        <v>0</v>
      </c>
      <c r="G545" s="486">
        <v>0</v>
      </c>
      <c r="W545" s="431">
        <v>8581</v>
      </c>
    </row>
    <row r="546" spans="1:23" hidden="1" x14ac:dyDescent="0.25">
      <c r="A546" s="489" t="s">
        <v>1538</v>
      </c>
      <c r="B546" s="490" t="s">
        <v>382</v>
      </c>
      <c r="C546" s="491">
        <v>0</v>
      </c>
      <c r="D546" s="491">
        <v>0</v>
      </c>
      <c r="E546" s="492">
        <v>0</v>
      </c>
      <c r="F546" s="464">
        <v>0</v>
      </c>
      <c r="G546" s="486">
        <v>0</v>
      </c>
      <c r="W546" s="431">
        <v>8582</v>
      </c>
    </row>
    <row r="547" spans="1:23" hidden="1" x14ac:dyDescent="0.25">
      <c r="A547" s="489" t="s">
        <v>1539</v>
      </c>
      <c r="B547" s="490" t="s">
        <v>414</v>
      </c>
      <c r="C547" s="491">
        <v>0</v>
      </c>
      <c r="D547" s="491">
        <v>0</v>
      </c>
      <c r="E547" s="492">
        <v>0</v>
      </c>
      <c r="F547" s="464">
        <v>0</v>
      </c>
      <c r="G547" s="486">
        <v>0</v>
      </c>
      <c r="W547" s="431">
        <v>8583</v>
      </c>
    </row>
    <row r="548" spans="1:23" hidden="1" x14ac:dyDescent="0.25">
      <c r="A548" s="489" t="s">
        <v>1540</v>
      </c>
      <c r="B548" s="490" t="s">
        <v>401</v>
      </c>
      <c r="C548" s="491">
        <v>0</v>
      </c>
      <c r="D548" s="491">
        <v>0</v>
      </c>
      <c r="E548" s="492">
        <v>0</v>
      </c>
      <c r="F548" s="464">
        <v>0</v>
      </c>
      <c r="G548" s="486">
        <v>0</v>
      </c>
      <c r="W548" s="431">
        <v>8584</v>
      </c>
    </row>
    <row r="549" spans="1:23" s="469" customFormat="1" x14ac:dyDescent="0.25">
      <c r="A549" s="483" t="s">
        <v>1541</v>
      </c>
      <c r="B549" s="487" t="s">
        <v>1542</v>
      </c>
      <c r="C549" s="488">
        <v>265705</v>
      </c>
      <c r="D549" s="488">
        <v>78764</v>
      </c>
      <c r="E549" s="485">
        <v>29.64</v>
      </c>
      <c r="F549" s="457">
        <v>17130</v>
      </c>
      <c r="G549" s="493">
        <v>61634</v>
      </c>
      <c r="W549" s="469">
        <v>7971</v>
      </c>
    </row>
    <row r="550" spans="1:23" s="469" customFormat="1" x14ac:dyDescent="0.25">
      <c r="A550" s="483" t="s">
        <v>1543</v>
      </c>
      <c r="B550" s="494" t="s">
        <v>1544</v>
      </c>
      <c r="C550" s="488">
        <v>236546</v>
      </c>
      <c r="D550" s="488">
        <v>78764</v>
      </c>
      <c r="E550" s="485">
        <v>33.299999999999997</v>
      </c>
      <c r="F550" s="457">
        <v>17130</v>
      </c>
      <c r="G550" s="493">
        <v>61634</v>
      </c>
      <c r="W550" s="469">
        <v>8585</v>
      </c>
    </row>
    <row r="551" spans="1:23" s="469" customFormat="1" x14ac:dyDescent="0.25">
      <c r="A551" s="483" t="s">
        <v>32</v>
      </c>
      <c r="B551" s="495" t="s">
        <v>1545</v>
      </c>
      <c r="C551" s="488">
        <v>236546</v>
      </c>
      <c r="D551" s="488">
        <v>78764</v>
      </c>
      <c r="E551" s="485">
        <v>33.299999999999997</v>
      </c>
      <c r="F551" s="457">
        <v>17130</v>
      </c>
      <c r="G551" s="493">
        <v>61634</v>
      </c>
      <c r="W551" s="469">
        <v>8586</v>
      </c>
    </row>
    <row r="552" spans="1:23" hidden="1" x14ac:dyDescent="0.25">
      <c r="A552" s="489" t="s">
        <v>1546</v>
      </c>
      <c r="B552" s="496" t="s">
        <v>1547</v>
      </c>
      <c r="C552" s="491">
        <v>0</v>
      </c>
      <c r="D552" s="491">
        <v>0</v>
      </c>
      <c r="E552" s="492">
        <v>0</v>
      </c>
      <c r="F552" s="464">
        <v>0</v>
      </c>
      <c r="G552" s="493">
        <v>0</v>
      </c>
      <c r="W552" s="431">
        <v>8587</v>
      </c>
    </row>
    <row r="553" spans="1:23" hidden="1" x14ac:dyDescent="0.25">
      <c r="A553" s="489" t="s">
        <v>1548</v>
      </c>
      <c r="B553" s="497" t="s">
        <v>1549</v>
      </c>
      <c r="C553" s="491">
        <v>0</v>
      </c>
      <c r="D553" s="491">
        <v>0</v>
      </c>
      <c r="E553" s="492">
        <v>0</v>
      </c>
      <c r="F553" s="464">
        <v>0</v>
      </c>
      <c r="G553" s="493">
        <v>0</v>
      </c>
      <c r="W553" s="431">
        <v>8588</v>
      </c>
    </row>
    <row r="554" spans="1:23" hidden="1" x14ac:dyDescent="0.25">
      <c r="A554" s="489" t="s">
        <v>1550</v>
      </c>
      <c r="B554" s="498" t="s">
        <v>1551</v>
      </c>
      <c r="C554" s="491">
        <v>0</v>
      </c>
      <c r="D554" s="491">
        <v>0</v>
      </c>
      <c r="E554" s="492">
        <v>0</v>
      </c>
      <c r="F554" s="464">
        <v>0</v>
      </c>
      <c r="G554" s="493">
        <v>0</v>
      </c>
      <c r="W554" s="431">
        <v>8589</v>
      </c>
    </row>
    <row r="555" spans="1:23" hidden="1" x14ac:dyDescent="0.25">
      <c r="A555" s="489" t="s">
        <v>1552</v>
      </c>
      <c r="B555" s="499" t="s">
        <v>1553</v>
      </c>
      <c r="C555" s="491">
        <v>0</v>
      </c>
      <c r="D555" s="491">
        <v>0</v>
      </c>
      <c r="E555" s="492">
        <v>0</v>
      </c>
      <c r="F555" s="464">
        <v>0</v>
      </c>
      <c r="G555" s="493">
        <v>0</v>
      </c>
      <c r="W555" s="431">
        <v>8590</v>
      </c>
    </row>
    <row r="556" spans="1:23" ht="25.5" hidden="1" x14ac:dyDescent="0.25">
      <c r="A556" s="489" t="s">
        <v>1554</v>
      </c>
      <c r="B556" s="499" t="s">
        <v>1555</v>
      </c>
      <c r="C556" s="491">
        <v>0</v>
      </c>
      <c r="D556" s="491">
        <v>0</v>
      </c>
      <c r="E556" s="492">
        <v>0</v>
      </c>
      <c r="F556" s="464">
        <v>0</v>
      </c>
      <c r="G556" s="493">
        <v>0</v>
      </c>
      <c r="W556" s="431">
        <v>8591</v>
      </c>
    </row>
    <row r="557" spans="1:23" ht="25.5" hidden="1" x14ac:dyDescent="0.25">
      <c r="A557" s="489" t="s">
        <v>1556</v>
      </c>
      <c r="B557" s="499" t="s">
        <v>1557</v>
      </c>
      <c r="C557" s="491">
        <v>0</v>
      </c>
      <c r="D557" s="491">
        <v>0</v>
      </c>
      <c r="E557" s="492">
        <v>0</v>
      </c>
      <c r="F557" s="464">
        <v>0</v>
      </c>
      <c r="G557" s="493">
        <v>0</v>
      </c>
      <c r="W557" s="431">
        <v>8592</v>
      </c>
    </row>
    <row r="558" spans="1:23" hidden="1" x14ac:dyDescent="0.25">
      <c r="A558" s="489" t="s">
        <v>1558</v>
      </c>
      <c r="B558" s="499" t="s">
        <v>1559</v>
      </c>
      <c r="C558" s="491">
        <v>0</v>
      </c>
      <c r="D558" s="491">
        <v>0</v>
      </c>
      <c r="E558" s="492">
        <v>0</v>
      </c>
      <c r="F558" s="464">
        <v>0</v>
      </c>
      <c r="G558" s="493">
        <v>0</v>
      </c>
      <c r="W558" s="431">
        <v>8593</v>
      </c>
    </row>
    <row r="559" spans="1:23" hidden="1" x14ac:dyDescent="0.25">
      <c r="A559" s="489" t="s">
        <v>1560</v>
      </c>
      <c r="B559" s="499" t="s">
        <v>1561</v>
      </c>
      <c r="C559" s="491">
        <v>0</v>
      </c>
      <c r="D559" s="491">
        <v>0</v>
      </c>
      <c r="E559" s="492">
        <v>0</v>
      </c>
      <c r="F559" s="464">
        <v>0</v>
      </c>
      <c r="G559" s="493">
        <v>0</v>
      </c>
      <c r="W559" s="431">
        <v>8594</v>
      </c>
    </row>
    <row r="560" spans="1:23" ht="25.5" hidden="1" x14ac:dyDescent="0.25">
      <c r="A560" s="489" t="s">
        <v>1562</v>
      </c>
      <c r="B560" s="499" t="s">
        <v>1563</v>
      </c>
      <c r="C560" s="491">
        <v>0</v>
      </c>
      <c r="D560" s="491">
        <v>0</v>
      </c>
      <c r="E560" s="492">
        <v>0</v>
      </c>
      <c r="F560" s="464">
        <v>0</v>
      </c>
      <c r="G560" s="493">
        <v>0</v>
      </c>
      <c r="W560" s="431">
        <v>8595</v>
      </c>
    </row>
    <row r="561" spans="1:23" hidden="1" x14ac:dyDescent="0.25">
      <c r="A561" s="489" t="s">
        <v>1564</v>
      </c>
      <c r="B561" s="499" t="s">
        <v>1565</v>
      </c>
      <c r="C561" s="491">
        <v>0</v>
      </c>
      <c r="D561" s="491">
        <v>0</v>
      </c>
      <c r="E561" s="492">
        <v>0</v>
      </c>
      <c r="F561" s="464">
        <v>0</v>
      </c>
      <c r="G561" s="493">
        <v>0</v>
      </c>
      <c r="W561" s="431">
        <v>8596</v>
      </c>
    </row>
    <row r="562" spans="1:23" hidden="1" x14ac:dyDescent="0.25">
      <c r="A562" s="489" t="s">
        <v>1566</v>
      </c>
      <c r="B562" s="498" t="s">
        <v>1567</v>
      </c>
      <c r="C562" s="491">
        <v>0</v>
      </c>
      <c r="D562" s="491">
        <v>0</v>
      </c>
      <c r="E562" s="492">
        <v>0</v>
      </c>
      <c r="F562" s="464">
        <v>0</v>
      </c>
      <c r="G562" s="493">
        <v>0</v>
      </c>
      <c r="W562" s="431">
        <v>8597</v>
      </c>
    </row>
    <row r="563" spans="1:23" hidden="1" x14ac:dyDescent="0.25">
      <c r="A563" s="489" t="s">
        <v>1568</v>
      </c>
      <c r="B563" s="499" t="s">
        <v>1569</v>
      </c>
      <c r="C563" s="491">
        <v>0</v>
      </c>
      <c r="D563" s="491">
        <v>0</v>
      </c>
      <c r="E563" s="492">
        <v>0</v>
      </c>
      <c r="F563" s="464">
        <v>0</v>
      </c>
      <c r="G563" s="493">
        <v>0</v>
      </c>
      <c r="W563" s="431">
        <v>8598</v>
      </c>
    </row>
    <row r="564" spans="1:23" ht="25.5" hidden="1" x14ac:dyDescent="0.25">
      <c r="A564" s="489" t="s">
        <v>1570</v>
      </c>
      <c r="B564" s="499" t="s">
        <v>1571</v>
      </c>
      <c r="C564" s="491">
        <v>0</v>
      </c>
      <c r="D564" s="491">
        <v>0</v>
      </c>
      <c r="E564" s="492">
        <v>0</v>
      </c>
      <c r="F564" s="464">
        <v>0</v>
      </c>
      <c r="G564" s="493">
        <v>0</v>
      </c>
      <c r="W564" s="431">
        <v>8599</v>
      </c>
    </row>
    <row r="565" spans="1:23" ht="25.5" hidden="1" x14ac:dyDescent="0.25">
      <c r="A565" s="489" t="s">
        <v>1572</v>
      </c>
      <c r="B565" s="499" t="s">
        <v>1573</v>
      </c>
      <c r="C565" s="491">
        <v>0</v>
      </c>
      <c r="D565" s="491">
        <v>0</v>
      </c>
      <c r="E565" s="492">
        <v>0</v>
      </c>
      <c r="F565" s="464">
        <v>0</v>
      </c>
      <c r="G565" s="493">
        <v>0</v>
      </c>
      <c r="W565" s="431">
        <v>8600</v>
      </c>
    </row>
    <row r="566" spans="1:23" hidden="1" x14ac:dyDescent="0.25">
      <c r="A566" s="489" t="s">
        <v>1574</v>
      </c>
      <c r="B566" s="499" t="s">
        <v>1575</v>
      </c>
      <c r="C566" s="491">
        <v>0</v>
      </c>
      <c r="D566" s="491">
        <v>0</v>
      </c>
      <c r="E566" s="492">
        <v>0</v>
      </c>
      <c r="F566" s="464">
        <v>0</v>
      </c>
      <c r="G566" s="493">
        <v>0</v>
      </c>
      <c r="W566" s="431">
        <v>8601</v>
      </c>
    </row>
    <row r="567" spans="1:23" ht="25.5" hidden="1" x14ac:dyDescent="0.25">
      <c r="A567" s="489" t="s">
        <v>1576</v>
      </c>
      <c r="B567" s="499" t="s">
        <v>1577</v>
      </c>
      <c r="C567" s="491">
        <v>0</v>
      </c>
      <c r="D567" s="491">
        <v>0</v>
      </c>
      <c r="E567" s="492">
        <v>0</v>
      </c>
      <c r="F567" s="464">
        <v>0</v>
      </c>
      <c r="G567" s="493">
        <v>0</v>
      </c>
      <c r="W567" s="431">
        <v>8602</v>
      </c>
    </row>
    <row r="568" spans="1:23" ht="25.5" hidden="1" x14ac:dyDescent="0.25">
      <c r="A568" s="489" t="s">
        <v>1578</v>
      </c>
      <c r="B568" s="499" t="s">
        <v>1579</v>
      </c>
      <c r="C568" s="491">
        <v>0</v>
      </c>
      <c r="D568" s="491">
        <v>0</v>
      </c>
      <c r="E568" s="492">
        <v>0</v>
      </c>
      <c r="F568" s="464">
        <v>0</v>
      </c>
      <c r="G568" s="493">
        <v>0</v>
      </c>
      <c r="W568" s="431">
        <v>8603</v>
      </c>
    </row>
    <row r="569" spans="1:23" hidden="1" x14ac:dyDescent="0.25">
      <c r="A569" s="489" t="s">
        <v>1580</v>
      </c>
      <c r="B569" s="499" t="s">
        <v>1581</v>
      </c>
      <c r="C569" s="491">
        <v>0</v>
      </c>
      <c r="D569" s="491">
        <v>0</v>
      </c>
      <c r="E569" s="492">
        <v>0</v>
      </c>
      <c r="F569" s="464">
        <v>0</v>
      </c>
      <c r="G569" s="493">
        <v>0</v>
      </c>
      <c r="W569" s="431">
        <v>8604</v>
      </c>
    </row>
    <row r="570" spans="1:23" hidden="1" x14ac:dyDescent="0.25">
      <c r="A570" s="489" t="s">
        <v>1582</v>
      </c>
      <c r="B570" s="499" t="s">
        <v>1583</v>
      </c>
      <c r="C570" s="491">
        <v>0</v>
      </c>
      <c r="D570" s="491">
        <v>0</v>
      </c>
      <c r="E570" s="492">
        <v>0</v>
      </c>
      <c r="F570" s="464">
        <v>0</v>
      </c>
      <c r="G570" s="493">
        <v>0</v>
      </c>
      <c r="W570" s="431">
        <v>8605</v>
      </c>
    </row>
    <row r="571" spans="1:23" ht="25.5" hidden="1" x14ac:dyDescent="0.25">
      <c r="A571" s="489" t="s">
        <v>1584</v>
      </c>
      <c r="B571" s="499" t="s">
        <v>1585</v>
      </c>
      <c r="C571" s="491">
        <v>0</v>
      </c>
      <c r="D571" s="491">
        <v>0</v>
      </c>
      <c r="E571" s="492">
        <v>0</v>
      </c>
      <c r="F571" s="464">
        <v>0</v>
      </c>
      <c r="G571" s="493">
        <v>0</v>
      </c>
      <c r="W571" s="431">
        <v>8606</v>
      </c>
    </row>
    <row r="572" spans="1:23" ht="25.5" hidden="1" x14ac:dyDescent="0.25">
      <c r="A572" s="489" t="s">
        <v>1586</v>
      </c>
      <c r="B572" s="498" t="s">
        <v>1587</v>
      </c>
      <c r="C572" s="491">
        <v>0</v>
      </c>
      <c r="D572" s="491">
        <v>0</v>
      </c>
      <c r="E572" s="492">
        <v>0</v>
      </c>
      <c r="F572" s="464">
        <v>0</v>
      </c>
      <c r="G572" s="493">
        <v>0</v>
      </c>
      <c r="W572" s="431">
        <v>8607</v>
      </c>
    </row>
    <row r="573" spans="1:23" hidden="1" x14ac:dyDescent="0.25">
      <c r="A573" s="489" t="s">
        <v>1588</v>
      </c>
      <c r="B573" s="498" t="s">
        <v>1589</v>
      </c>
      <c r="C573" s="491">
        <v>0</v>
      </c>
      <c r="D573" s="491">
        <v>0</v>
      </c>
      <c r="E573" s="492">
        <v>0</v>
      </c>
      <c r="F573" s="464">
        <v>0</v>
      </c>
      <c r="G573" s="493">
        <v>0</v>
      </c>
      <c r="W573" s="431">
        <v>8608</v>
      </c>
    </row>
    <row r="574" spans="1:23" ht="25.5" hidden="1" x14ac:dyDescent="0.25">
      <c r="A574" s="489" t="s">
        <v>1590</v>
      </c>
      <c r="B574" s="497" t="s">
        <v>1591</v>
      </c>
      <c r="C574" s="491">
        <v>0</v>
      </c>
      <c r="D574" s="491">
        <v>0</v>
      </c>
      <c r="E574" s="492">
        <v>0</v>
      </c>
      <c r="F574" s="464">
        <v>0</v>
      </c>
      <c r="G574" s="493">
        <v>0</v>
      </c>
      <c r="W574" s="431">
        <v>8609</v>
      </c>
    </row>
    <row r="575" spans="1:23" ht="25.5" hidden="1" x14ac:dyDescent="0.25">
      <c r="A575" s="489" t="s">
        <v>1592</v>
      </c>
      <c r="B575" s="498" t="s">
        <v>1593</v>
      </c>
      <c r="C575" s="491">
        <v>0</v>
      </c>
      <c r="D575" s="491">
        <v>0</v>
      </c>
      <c r="E575" s="492">
        <v>0</v>
      </c>
      <c r="F575" s="464">
        <v>0</v>
      </c>
      <c r="G575" s="493">
        <v>0</v>
      </c>
      <c r="W575" s="431">
        <v>8610</v>
      </c>
    </row>
    <row r="576" spans="1:23" ht="25.5" hidden="1" x14ac:dyDescent="0.25">
      <c r="A576" s="489" t="s">
        <v>1594</v>
      </c>
      <c r="B576" s="498" t="s">
        <v>1595</v>
      </c>
      <c r="C576" s="491">
        <v>0</v>
      </c>
      <c r="D576" s="491">
        <v>0</v>
      </c>
      <c r="E576" s="492">
        <v>0</v>
      </c>
      <c r="F576" s="464">
        <v>0</v>
      </c>
      <c r="G576" s="493">
        <v>0</v>
      </c>
      <c r="W576" s="431">
        <v>8611</v>
      </c>
    </row>
    <row r="577" spans="1:23" ht="38.25" hidden="1" x14ac:dyDescent="0.25">
      <c r="A577" s="489" t="s">
        <v>1596</v>
      </c>
      <c r="B577" s="499" t="s">
        <v>1597</v>
      </c>
      <c r="C577" s="491">
        <v>0</v>
      </c>
      <c r="D577" s="491">
        <v>0</v>
      </c>
      <c r="E577" s="492">
        <v>0</v>
      </c>
      <c r="F577" s="464">
        <v>0</v>
      </c>
      <c r="G577" s="493">
        <v>0</v>
      </c>
      <c r="W577" s="431">
        <v>8612</v>
      </c>
    </row>
    <row r="578" spans="1:23" ht="25.5" hidden="1" x14ac:dyDescent="0.25">
      <c r="A578" s="489" t="s">
        <v>1598</v>
      </c>
      <c r="B578" s="499" t="s">
        <v>1599</v>
      </c>
      <c r="C578" s="491">
        <v>0</v>
      </c>
      <c r="D578" s="491">
        <v>0</v>
      </c>
      <c r="E578" s="492">
        <v>0</v>
      </c>
      <c r="F578" s="464">
        <v>0</v>
      </c>
      <c r="G578" s="493">
        <v>0</v>
      </c>
      <c r="W578" s="431">
        <v>8613</v>
      </c>
    </row>
    <row r="579" spans="1:23" hidden="1" x14ac:dyDescent="0.25">
      <c r="A579" s="489" t="s">
        <v>1600</v>
      </c>
      <c r="B579" s="499" t="s">
        <v>1601</v>
      </c>
      <c r="C579" s="491">
        <v>0</v>
      </c>
      <c r="D579" s="491">
        <v>0</v>
      </c>
      <c r="E579" s="492">
        <v>0</v>
      </c>
      <c r="F579" s="464">
        <v>0</v>
      </c>
      <c r="G579" s="493">
        <v>0</v>
      </c>
      <c r="W579" s="431">
        <v>8614</v>
      </c>
    </row>
    <row r="580" spans="1:23" ht="25.5" hidden="1" x14ac:dyDescent="0.25">
      <c r="A580" s="489" t="s">
        <v>1602</v>
      </c>
      <c r="B580" s="499" t="s">
        <v>1603</v>
      </c>
      <c r="C580" s="491">
        <v>0</v>
      </c>
      <c r="D580" s="491">
        <v>0</v>
      </c>
      <c r="E580" s="492">
        <v>0</v>
      </c>
      <c r="F580" s="464">
        <v>0</v>
      </c>
      <c r="G580" s="493">
        <v>0</v>
      </c>
      <c r="W580" s="431">
        <v>8615</v>
      </c>
    </row>
    <row r="581" spans="1:23" hidden="1" x14ac:dyDescent="0.25">
      <c r="A581" s="489" t="s">
        <v>1604</v>
      </c>
      <c r="B581" s="499" t="s">
        <v>1605</v>
      </c>
      <c r="C581" s="491">
        <v>0</v>
      </c>
      <c r="D581" s="491">
        <v>0</v>
      </c>
      <c r="E581" s="492">
        <v>0</v>
      </c>
      <c r="F581" s="464">
        <v>0</v>
      </c>
      <c r="G581" s="493">
        <v>0</v>
      </c>
      <c r="W581" s="431">
        <v>8616</v>
      </c>
    </row>
    <row r="582" spans="1:23" ht="25.5" hidden="1" x14ac:dyDescent="0.25">
      <c r="A582" s="489" t="s">
        <v>1606</v>
      </c>
      <c r="B582" s="499" t="s">
        <v>1607</v>
      </c>
      <c r="C582" s="491">
        <v>0</v>
      </c>
      <c r="D582" s="491">
        <v>0</v>
      </c>
      <c r="E582" s="492">
        <v>0</v>
      </c>
      <c r="F582" s="464">
        <v>0</v>
      </c>
      <c r="G582" s="493">
        <v>0</v>
      </c>
      <c r="W582" s="431">
        <v>8617</v>
      </c>
    </row>
    <row r="583" spans="1:23" ht="25.5" hidden="1" x14ac:dyDescent="0.25">
      <c r="A583" s="489" t="s">
        <v>1608</v>
      </c>
      <c r="B583" s="499" t="s">
        <v>1609</v>
      </c>
      <c r="C583" s="491">
        <v>0</v>
      </c>
      <c r="D583" s="491">
        <v>0</v>
      </c>
      <c r="E583" s="492">
        <v>0</v>
      </c>
      <c r="F583" s="464">
        <v>0</v>
      </c>
      <c r="G583" s="493">
        <v>0</v>
      </c>
      <c r="W583" s="431">
        <v>8618</v>
      </c>
    </row>
    <row r="584" spans="1:23" ht="38.25" hidden="1" x14ac:dyDescent="0.25">
      <c r="A584" s="489" t="s">
        <v>1610</v>
      </c>
      <c r="B584" s="499" t="s">
        <v>1611</v>
      </c>
      <c r="C584" s="491">
        <v>0</v>
      </c>
      <c r="D584" s="491">
        <v>0</v>
      </c>
      <c r="E584" s="492">
        <v>0</v>
      </c>
      <c r="F584" s="464">
        <v>0</v>
      </c>
      <c r="G584" s="493">
        <v>0</v>
      </c>
      <c r="W584" s="431">
        <v>8619</v>
      </c>
    </row>
    <row r="585" spans="1:23" hidden="1" x14ac:dyDescent="0.25">
      <c r="A585" s="489" t="s">
        <v>1612</v>
      </c>
      <c r="B585" s="498" t="s">
        <v>1613</v>
      </c>
      <c r="C585" s="491">
        <v>0</v>
      </c>
      <c r="D585" s="491">
        <v>0</v>
      </c>
      <c r="E585" s="492">
        <v>0</v>
      </c>
      <c r="F585" s="464">
        <v>0</v>
      </c>
      <c r="G585" s="493">
        <v>0</v>
      </c>
      <c r="W585" s="431">
        <v>8620</v>
      </c>
    </row>
    <row r="586" spans="1:23" x14ac:dyDescent="0.25">
      <c r="A586" s="489" t="s">
        <v>1614</v>
      </c>
      <c r="B586" s="496" t="s">
        <v>1615</v>
      </c>
      <c r="C586" s="491">
        <v>236546</v>
      </c>
      <c r="D586" s="491">
        <v>78764</v>
      </c>
      <c r="E586" s="492">
        <v>33.299999999999997</v>
      </c>
      <c r="F586" s="464">
        <v>17130</v>
      </c>
      <c r="G586" s="493">
        <v>61634</v>
      </c>
      <c r="W586" s="431">
        <v>8621</v>
      </c>
    </row>
    <row r="587" spans="1:23" ht="25.5" hidden="1" x14ac:dyDescent="0.25">
      <c r="A587" s="489" t="s">
        <v>1616</v>
      </c>
      <c r="B587" s="497" t="s">
        <v>1617</v>
      </c>
      <c r="C587" s="491">
        <v>0</v>
      </c>
      <c r="D587" s="491">
        <v>0</v>
      </c>
      <c r="E587" s="492">
        <v>0</v>
      </c>
      <c r="F587" s="464">
        <v>0</v>
      </c>
      <c r="G587" s="493">
        <v>0</v>
      </c>
      <c r="W587" s="431">
        <v>8622</v>
      </c>
    </row>
    <row r="588" spans="1:23" ht="25.5" hidden="1" x14ac:dyDescent="0.25">
      <c r="A588" s="489" t="s">
        <v>1618</v>
      </c>
      <c r="B588" s="498" t="s">
        <v>1619</v>
      </c>
      <c r="C588" s="491">
        <v>0</v>
      </c>
      <c r="D588" s="491">
        <v>0</v>
      </c>
      <c r="E588" s="492">
        <v>0</v>
      </c>
      <c r="F588" s="464">
        <v>0</v>
      </c>
      <c r="G588" s="493">
        <v>0</v>
      </c>
      <c r="W588" s="431">
        <v>8623</v>
      </c>
    </row>
    <row r="589" spans="1:23" hidden="1" x14ac:dyDescent="0.25">
      <c r="A589" s="489" t="s">
        <v>1620</v>
      </c>
      <c r="B589" s="499" t="s">
        <v>1621</v>
      </c>
      <c r="C589" s="491">
        <v>0</v>
      </c>
      <c r="D589" s="491">
        <v>0</v>
      </c>
      <c r="E589" s="492">
        <v>0</v>
      </c>
      <c r="F589" s="464">
        <v>0</v>
      </c>
      <c r="G589" s="493">
        <v>0</v>
      </c>
      <c r="W589" s="431">
        <v>8624</v>
      </c>
    </row>
    <row r="590" spans="1:23" hidden="1" x14ac:dyDescent="0.25">
      <c r="A590" s="489" t="s">
        <v>1622</v>
      </c>
      <c r="B590" s="499" t="s">
        <v>1623</v>
      </c>
      <c r="C590" s="491">
        <v>0</v>
      </c>
      <c r="D590" s="491">
        <v>0</v>
      </c>
      <c r="E590" s="492">
        <v>0</v>
      </c>
      <c r="F590" s="464">
        <v>0</v>
      </c>
      <c r="G590" s="493">
        <v>0</v>
      </c>
      <c r="W590" s="431">
        <v>8625</v>
      </c>
    </row>
    <row r="591" spans="1:23" ht="25.5" hidden="1" x14ac:dyDescent="0.25">
      <c r="A591" s="489" t="s">
        <v>1624</v>
      </c>
      <c r="B591" s="498" t="s">
        <v>1625</v>
      </c>
      <c r="C591" s="491">
        <v>0</v>
      </c>
      <c r="D591" s="491">
        <v>0</v>
      </c>
      <c r="E591" s="492">
        <v>0</v>
      </c>
      <c r="F591" s="464">
        <v>0</v>
      </c>
      <c r="G591" s="493">
        <v>0</v>
      </c>
      <c r="W591" s="431">
        <v>8626</v>
      </c>
    </row>
    <row r="592" spans="1:23" hidden="1" x14ac:dyDescent="0.25">
      <c r="A592" s="489" t="s">
        <v>1626</v>
      </c>
      <c r="B592" s="499" t="s">
        <v>1621</v>
      </c>
      <c r="C592" s="491">
        <v>0</v>
      </c>
      <c r="D592" s="491">
        <v>0</v>
      </c>
      <c r="E592" s="492">
        <v>0</v>
      </c>
      <c r="F592" s="464">
        <v>0</v>
      </c>
      <c r="G592" s="493">
        <v>0</v>
      </c>
      <c r="W592" s="431">
        <v>8627</v>
      </c>
    </row>
    <row r="593" spans="1:23" hidden="1" x14ac:dyDescent="0.25">
      <c r="A593" s="489" t="s">
        <v>1627</v>
      </c>
      <c r="B593" s="499" t="s">
        <v>1623</v>
      </c>
      <c r="C593" s="491">
        <v>0</v>
      </c>
      <c r="D593" s="491">
        <v>0</v>
      </c>
      <c r="E593" s="492">
        <v>0</v>
      </c>
      <c r="F593" s="464">
        <v>0</v>
      </c>
      <c r="G593" s="493">
        <v>0</v>
      </c>
      <c r="W593" s="431">
        <v>8628</v>
      </c>
    </row>
    <row r="594" spans="1:23" x14ac:dyDescent="0.25">
      <c r="A594" s="500" t="s">
        <v>1628</v>
      </c>
      <c r="B594" s="501" t="s">
        <v>1629</v>
      </c>
      <c r="C594" s="502">
        <v>226546</v>
      </c>
      <c r="D594" s="502">
        <v>78764</v>
      </c>
      <c r="E594" s="503">
        <v>34.770000000000003</v>
      </c>
      <c r="F594" s="481">
        <v>17130</v>
      </c>
      <c r="G594" s="493">
        <v>61634</v>
      </c>
      <c r="W594" s="431">
        <v>8629</v>
      </c>
    </row>
    <row r="595" spans="1:23" hidden="1" x14ac:dyDescent="0.25">
      <c r="A595" s="489" t="s">
        <v>1630</v>
      </c>
      <c r="B595" s="498" t="s">
        <v>1631</v>
      </c>
      <c r="C595" s="491">
        <v>0</v>
      </c>
      <c r="D595" s="491">
        <v>0</v>
      </c>
      <c r="E595" s="492">
        <v>0</v>
      </c>
      <c r="F595" s="464">
        <v>0</v>
      </c>
      <c r="G595" s="493">
        <v>0</v>
      </c>
      <c r="W595" s="431">
        <v>8630</v>
      </c>
    </row>
    <row r="596" spans="1:23" ht="38.25" hidden="1" x14ac:dyDescent="0.25">
      <c r="A596" s="489" t="s">
        <v>1632</v>
      </c>
      <c r="B596" s="499" t="s">
        <v>1633</v>
      </c>
      <c r="C596" s="491">
        <v>0</v>
      </c>
      <c r="D596" s="491">
        <v>0</v>
      </c>
      <c r="E596" s="492">
        <v>0</v>
      </c>
      <c r="F596" s="464">
        <v>0</v>
      </c>
      <c r="G596" s="493">
        <v>0</v>
      </c>
      <c r="W596" s="431">
        <v>8631</v>
      </c>
    </row>
    <row r="597" spans="1:23" hidden="1" x14ac:dyDescent="0.25">
      <c r="A597" s="489" t="s">
        <v>1634</v>
      </c>
      <c r="B597" s="499" t="s">
        <v>1635</v>
      </c>
      <c r="C597" s="491">
        <v>0</v>
      </c>
      <c r="D597" s="491">
        <v>0</v>
      </c>
      <c r="E597" s="492">
        <v>0</v>
      </c>
      <c r="F597" s="464">
        <v>0</v>
      </c>
      <c r="G597" s="493">
        <v>0</v>
      </c>
      <c r="W597" s="431">
        <v>8632</v>
      </c>
    </row>
    <row r="598" spans="1:23" hidden="1" x14ac:dyDescent="0.25">
      <c r="A598" s="489" t="s">
        <v>1636</v>
      </c>
      <c r="B598" s="498" t="s">
        <v>1637</v>
      </c>
      <c r="C598" s="491">
        <v>0</v>
      </c>
      <c r="D598" s="491">
        <v>0</v>
      </c>
      <c r="E598" s="492">
        <v>0</v>
      </c>
      <c r="F598" s="464">
        <v>0</v>
      </c>
      <c r="G598" s="493">
        <v>0</v>
      </c>
      <c r="W598" s="431">
        <v>8633</v>
      </c>
    </row>
    <row r="599" spans="1:23" hidden="1" x14ac:dyDescent="0.25">
      <c r="A599" s="489" t="s">
        <v>1638</v>
      </c>
      <c r="B599" s="499" t="s">
        <v>1639</v>
      </c>
      <c r="C599" s="491">
        <v>0</v>
      </c>
      <c r="D599" s="491">
        <v>0</v>
      </c>
      <c r="E599" s="492">
        <v>0</v>
      </c>
      <c r="F599" s="464">
        <v>0</v>
      </c>
      <c r="G599" s="493">
        <v>0</v>
      </c>
      <c r="W599" s="431">
        <v>8634</v>
      </c>
    </row>
    <row r="600" spans="1:23" hidden="1" x14ac:dyDescent="0.25">
      <c r="A600" s="489" t="s">
        <v>1640</v>
      </c>
      <c r="B600" s="499" t="s">
        <v>1641</v>
      </c>
      <c r="C600" s="491">
        <v>0</v>
      </c>
      <c r="D600" s="491">
        <v>0</v>
      </c>
      <c r="E600" s="492">
        <v>0</v>
      </c>
      <c r="F600" s="464">
        <v>0</v>
      </c>
      <c r="G600" s="493">
        <v>0</v>
      </c>
      <c r="W600" s="431">
        <v>8635</v>
      </c>
    </row>
    <row r="601" spans="1:23" hidden="1" x14ac:dyDescent="0.25">
      <c r="A601" s="489" t="s">
        <v>1642</v>
      </c>
      <c r="B601" s="499" t="s">
        <v>1643</v>
      </c>
      <c r="C601" s="491">
        <v>0</v>
      </c>
      <c r="D601" s="491">
        <v>0</v>
      </c>
      <c r="E601" s="492">
        <v>0</v>
      </c>
      <c r="F601" s="464">
        <v>0</v>
      </c>
      <c r="G601" s="493">
        <v>0</v>
      </c>
      <c r="W601" s="431">
        <v>8636</v>
      </c>
    </row>
    <row r="602" spans="1:23" ht="38.25" hidden="1" x14ac:dyDescent="0.25">
      <c r="A602" s="489" t="s">
        <v>1644</v>
      </c>
      <c r="B602" s="499" t="s">
        <v>1645</v>
      </c>
      <c r="C602" s="491">
        <v>0</v>
      </c>
      <c r="D602" s="491">
        <v>0</v>
      </c>
      <c r="E602" s="492">
        <v>0</v>
      </c>
      <c r="F602" s="464">
        <v>0</v>
      </c>
      <c r="G602" s="493">
        <v>0</v>
      </c>
      <c r="W602" s="431">
        <v>8637</v>
      </c>
    </row>
    <row r="603" spans="1:23" hidden="1" x14ac:dyDescent="0.25">
      <c r="A603" s="489" t="s">
        <v>1646</v>
      </c>
      <c r="B603" s="499" t="s">
        <v>1647</v>
      </c>
      <c r="C603" s="491">
        <v>0</v>
      </c>
      <c r="D603" s="491">
        <v>0</v>
      </c>
      <c r="E603" s="492">
        <v>0</v>
      </c>
      <c r="F603" s="464">
        <v>0</v>
      </c>
      <c r="G603" s="493">
        <v>0</v>
      </c>
      <c r="W603" s="431">
        <v>8638</v>
      </c>
    </row>
    <row r="604" spans="1:23" ht="25.5" hidden="1" x14ac:dyDescent="0.25">
      <c r="A604" s="489" t="s">
        <v>1648</v>
      </c>
      <c r="B604" s="498" t="s">
        <v>1649</v>
      </c>
      <c r="C604" s="491">
        <v>0</v>
      </c>
      <c r="D604" s="491">
        <v>0</v>
      </c>
      <c r="E604" s="492">
        <v>0</v>
      </c>
      <c r="F604" s="464">
        <v>0</v>
      </c>
      <c r="G604" s="493">
        <v>0</v>
      </c>
      <c r="W604" s="431">
        <v>8639</v>
      </c>
    </row>
    <row r="605" spans="1:23" hidden="1" x14ac:dyDescent="0.25">
      <c r="A605" s="489" t="s">
        <v>1650</v>
      </c>
      <c r="B605" s="499" t="s">
        <v>1651</v>
      </c>
      <c r="C605" s="491">
        <v>0</v>
      </c>
      <c r="D605" s="491">
        <v>0</v>
      </c>
      <c r="E605" s="492">
        <v>0</v>
      </c>
      <c r="F605" s="464">
        <v>0</v>
      </c>
      <c r="G605" s="493">
        <v>0</v>
      </c>
      <c r="W605" s="431">
        <v>8640</v>
      </c>
    </row>
    <row r="606" spans="1:23" ht="25.5" hidden="1" x14ac:dyDescent="0.25">
      <c r="A606" s="489" t="s">
        <v>1652</v>
      </c>
      <c r="B606" s="499" t="s">
        <v>1653</v>
      </c>
      <c r="C606" s="491">
        <v>0</v>
      </c>
      <c r="D606" s="491">
        <v>0</v>
      </c>
      <c r="E606" s="492">
        <v>0</v>
      </c>
      <c r="F606" s="464">
        <v>0</v>
      </c>
      <c r="G606" s="493">
        <v>0</v>
      </c>
      <c r="W606" s="431">
        <v>8641</v>
      </c>
    </row>
    <row r="607" spans="1:23" hidden="1" x14ac:dyDescent="0.25">
      <c r="A607" s="489" t="s">
        <v>1654</v>
      </c>
      <c r="B607" s="499" t="s">
        <v>1655</v>
      </c>
      <c r="C607" s="491">
        <v>0</v>
      </c>
      <c r="D607" s="491">
        <v>0</v>
      </c>
      <c r="E607" s="492">
        <v>0</v>
      </c>
      <c r="F607" s="464">
        <v>0</v>
      </c>
      <c r="G607" s="493">
        <v>0</v>
      </c>
      <c r="W607" s="431">
        <v>8642</v>
      </c>
    </row>
    <row r="608" spans="1:23" ht="25.5" hidden="1" x14ac:dyDescent="0.25">
      <c r="A608" s="489" t="s">
        <v>1656</v>
      </c>
      <c r="B608" s="499" t="s">
        <v>1657</v>
      </c>
      <c r="C608" s="491">
        <v>0</v>
      </c>
      <c r="D608" s="491">
        <v>0</v>
      </c>
      <c r="E608" s="492">
        <v>0</v>
      </c>
      <c r="F608" s="464">
        <v>0</v>
      </c>
      <c r="G608" s="493">
        <v>0</v>
      </c>
      <c r="W608" s="431">
        <v>8643</v>
      </c>
    </row>
    <row r="609" spans="1:23" hidden="1" x14ac:dyDescent="0.25">
      <c r="A609" s="489" t="s">
        <v>1658</v>
      </c>
      <c r="B609" s="499" t="s">
        <v>1659</v>
      </c>
      <c r="C609" s="491">
        <v>0</v>
      </c>
      <c r="D609" s="491">
        <v>0</v>
      </c>
      <c r="E609" s="492">
        <v>0</v>
      </c>
      <c r="F609" s="464">
        <v>0</v>
      </c>
      <c r="G609" s="493">
        <v>0</v>
      </c>
      <c r="W609" s="431">
        <v>8644</v>
      </c>
    </row>
    <row r="610" spans="1:23" hidden="1" x14ac:dyDescent="0.25">
      <c r="A610" s="489" t="s">
        <v>1660</v>
      </c>
      <c r="B610" s="499" t="s">
        <v>1661</v>
      </c>
      <c r="C610" s="491">
        <v>0</v>
      </c>
      <c r="D610" s="491">
        <v>0</v>
      </c>
      <c r="E610" s="492">
        <v>0</v>
      </c>
      <c r="F610" s="464">
        <v>0</v>
      </c>
      <c r="G610" s="493">
        <v>0</v>
      </c>
      <c r="W610" s="431">
        <v>8645</v>
      </c>
    </row>
    <row r="611" spans="1:23" ht="25.5" hidden="1" x14ac:dyDescent="0.25">
      <c r="A611" s="489" t="s">
        <v>1662</v>
      </c>
      <c r="B611" s="499" t="s">
        <v>1663</v>
      </c>
      <c r="C611" s="491">
        <v>0</v>
      </c>
      <c r="D611" s="491">
        <v>0</v>
      </c>
      <c r="E611" s="492">
        <v>0</v>
      </c>
      <c r="F611" s="464">
        <v>0</v>
      </c>
      <c r="G611" s="493">
        <v>0</v>
      </c>
      <c r="W611" s="431">
        <v>8646</v>
      </c>
    </row>
    <row r="612" spans="1:23" ht="25.5" hidden="1" x14ac:dyDescent="0.25">
      <c r="A612" s="489" t="s">
        <v>1664</v>
      </c>
      <c r="B612" s="499" t="s">
        <v>1665</v>
      </c>
      <c r="C612" s="491">
        <v>0</v>
      </c>
      <c r="D612" s="491">
        <v>0</v>
      </c>
      <c r="E612" s="492">
        <v>0</v>
      </c>
      <c r="F612" s="464">
        <v>0</v>
      </c>
      <c r="G612" s="493">
        <v>0</v>
      </c>
      <c r="W612" s="431">
        <v>8647</v>
      </c>
    </row>
    <row r="613" spans="1:23" hidden="1" x14ac:dyDescent="0.25">
      <c r="A613" s="489" t="s">
        <v>1666</v>
      </c>
      <c r="B613" s="499" t="s">
        <v>1667</v>
      </c>
      <c r="C613" s="491">
        <v>0</v>
      </c>
      <c r="D613" s="491">
        <v>0</v>
      </c>
      <c r="E613" s="492">
        <v>0</v>
      </c>
      <c r="F613" s="464">
        <v>0</v>
      </c>
      <c r="G613" s="493">
        <v>0</v>
      </c>
      <c r="W613" s="431">
        <v>8648</v>
      </c>
    </row>
    <row r="614" spans="1:23" ht="25.5" x14ac:dyDescent="0.25">
      <c r="A614" s="489" t="s">
        <v>1668</v>
      </c>
      <c r="B614" s="498" t="s">
        <v>1669</v>
      </c>
      <c r="C614" s="491">
        <v>226546</v>
      </c>
      <c r="D614" s="491">
        <v>78764</v>
      </c>
      <c r="E614" s="492">
        <v>34.770000000000003</v>
      </c>
      <c r="F614" s="464">
        <v>17130</v>
      </c>
      <c r="G614" s="493">
        <v>61634</v>
      </c>
      <c r="W614" s="431">
        <v>8649</v>
      </c>
    </row>
    <row r="615" spans="1:23" hidden="1" x14ac:dyDescent="0.25">
      <c r="A615" s="489" t="s">
        <v>1670</v>
      </c>
      <c r="B615" s="499" t="s">
        <v>1671</v>
      </c>
      <c r="C615" s="491">
        <v>0</v>
      </c>
      <c r="D615" s="491">
        <v>0</v>
      </c>
      <c r="E615" s="492">
        <v>0</v>
      </c>
      <c r="F615" s="464">
        <v>0</v>
      </c>
      <c r="G615" s="493">
        <v>0</v>
      </c>
      <c r="W615" s="431">
        <v>8650</v>
      </c>
    </row>
    <row r="616" spans="1:23" hidden="1" x14ac:dyDescent="0.25">
      <c r="A616" s="489" t="s">
        <v>1672</v>
      </c>
      <c r="B616" s="499" t="s">
        <v>1673</v>
      </c>
      <c r="C616" s="491">
        <v>0</v>
      </c>
      <c r="D616" s="491">
        <v>0</v>
      </c>
      <c r="E616" s="492">
        <v>0</v>
      </c>
      <c r="F616" s="464">
        <v>0</v>
      </c>
      <c r="G616" s="493">
        <v>0</v>
      </c>
      <c r="W616" s="431">
        <v>8651</v>
      </c>
    </row>
    <row r="617" spans="1:23" ht="25.5" hidden="1" x14ac:dyDescent="0.25">
      <c r="A617" s="489" t="s">
        <v>1674</v>
      </c>
      <c r="B617" s="499" t="s">
        <v>1675</v>
      </c>
      <c r="C617" s="491">
        <v>0</v>
      </c>
      <c r="D617" s="491">
        <v>0</v>
      </c>
      <c r="E617" s="492">
        <v>0</v>
      </c>
      <c r="F617" s="464">
        <v>0</v>
      </c>
      <c r="G617" s="493">
        <v>0</v>
      </c>
      <c r="W617" s="431">
        <v>8652</v>
      </c>
    </row>
    <row r="618" spans="1:23" hidden="1" x14ac:dyDescent="0.25">
      <c r="A618" s="489" t="s">
        <v>1676</v>
      </c>
      <c r="B618" s="499" t="s">
        <v>1677</v>
      </c>
      <c r="C618" s="491">
        <v>0</v>
      </c>
      <c r="D618" s="491">
        <v>0</v>
      </c>
      <c r="E618" s="492">
        <v>0</v>
      </c>
      <c r="F618" s="464">
        <v>0</v>
      </c>
      <c r="G618" s="493">
        <v>0</v>
      </c>
      <c r="W618" s="431">
        <v>8653</v>
      </c>
    </row>
    <row r="619" spans="1:23" x14ac:dyDescent="0.25">
      <c r="A619" s="489" t="s">
        <v>1678</v>
      </c>
      <c r="B619" s="499" t="s">
        <v>1679</v>
      </c>
      <c r="C619" s="491">
        <v>226546</v>
      </c>
      <c r="D619" s="491">
        <v>78764</v>
      </c>
      <c r="E619" s="492">
        <v>34.770000000000003</v>
      </c>
      <c r="F619" s="464">
        <v>17130</v>
      </c>
      <c r="G619" s="493">
        <v>61634</v>
      </c>
      <c r="W619" s="431">
        <v>8654</v>
      </c>
    </row>
    <row r="620" spans="1:23" hidden="1" x14ac:dyDescent="0.25">
      <c r="A620" s="489" t="s">
        <v>1680</v>
      </c>
      <c r="B620" s="499" t="s">
        <v>1681</v>
      </c>
      <c r="C620" s="491">
        <v>0</v>
      </c>
      <c r="D620" s="491">
        <v>0</v>
      </c>
      <c r="E620" s="492">
        <v>0</v>
      </c>
      <c r="F620" s="464">
        <v>0</v>
      </c>
      <c r="G620" s="493">
        <v>0</v>
      </c>
      <c r="W620" s="431">
        <v>8655</v>
      </c>
    </row>
    <row r="621" spans="1:23" ht="25.5" hidden="1" x14ac:dyDescent="0.25">
      <c r="A621" s="489" t="s">
        <v>1682</v>
      </c>
      <c r="B621" s="499" t="s">
        <v>1683</v>
      </c>
      <c r="C621" s="491">
        <v>0</v>
      </c>
      <c r="D621" s="491">
        <v>0</v>
      </c>
      <c r="E621" s="492">
        <v>0</v>
      </c>
      <c r="F621" s="464">
        <v>0</v>
      </c>
      <c r="G621" s="493">
        <v>0</v>
      </c>
      <c r="W621" s="431">
        <v>8656</v>
      </c>
    </row>
    <row r="622" spans="1:23" ht="25.5" hidden="1" x14ac:dyDescent="0.25">
      <c r="A622" s="489" t="s">
        <v>1684</v>
      </c>
      <c r="B622" s="499" t="s">
        <v>1685</v>
      </c>
      <c r="C622" s="491">
        <v>0</v>
      </c>
      <c r="D622" s="491">
        <v>0</v>
      </c>
      <c r="E622" s="492">
        <v>0</v>
      </c>
      <c r="F622" s="464">
        <v>0</v>
      </c>
      <c r="G622" s="493">
        <v>0</v>
      </c>
      <c r="W622" s="431">
        <v>8657</v>
      </c>
    </row>
    <row r="623" spans="1:23" hidden="1" x14ac:dyDescent="0.25">
      <c r="A623" s="489" t="s">
        <v>1686</v>
      </c>
      <c r="B623" s="498" t="s">
        <v>1687</v>
      </c>
      <c r="C623" s="491">
        <v>0</v>
      </c>
      <c r="D623" s="491">
        <v>0</v>
      </c>
      <c r="E623" s="492">
        <v>0</v>
      </c>
      <c r="F623" s="464">
        <v>0</v>
      </c>
      <c r="G623" s="493">
        <v>0</v>
      </c>
      <c r="W623" s="431">
        <v>8658</v>
      </c>
    </row>
    <row r="624" spans="1:23" hidden="1" x14ac:dyDescent="0.25">
      <c r="A624" s="489" t="s">
        <v>1688</v>
      </c>
      <c r="B624" s="499" t="s">
        <v>1689</v>
      </c>
      <c r="C624" s="491">
        <v>0</v>
      </c>
      <c r="D624" s="491">
        <v>0</v>
      </c>
      <c r="E624" s="492">
        <v>0</v>
      </c>
      <c r="F624" s="464">
        <v>0</v>
      </c>
      <c r="G624" s="493">
        <v>0</v>
      </c>
      <c r="W624" s="431">
        <v>8659</v>
      </c>
    </row>
    <row r="625" spans="1:23" hidden="1" x14ac:dyDescent="0.25">
      <c r="A625" s="489" t="s">
        <v>1690</v>
      </c>
      <c r="B625" s="499" t="s">
        <v>1691</v>
      </c>
      <c r="C625" s="491">
        <v>0</v>
      </c>
      <c r="D625" s="491">
        <v>0</v>
      </c>
      <c r="E625" s="492">
        <v>0</v>
      </c>
      <c r="F625" s="464">
        <v>0</v>
      </c>
      <c r="G625" s="493">
        <v>0</v>
      </c>
      <c r="W625" s="431">
        <v>8660</v>
      </c>
    </row>
    <row r="626" spans="1:23" hidden="1" x14ac:dyDescent="0.25">
      <c r="A626" s="489" t="s">
        <v>1692</v>
      </c>
      <c r="B626" s="499" t="s">
        <v>1693</v>
      </c>
      <c r="C626" s="491">
        <v>0</v>
      </c>
      <c r="D626" s="491">
        <v>0</v>
      </c>
      <c r="E626" s="492">
        <v>0</v>
      </c>
      <c r="F626" s="464">
        <v>0</v>
      </c>
      <c r="G626" s="493">
        <v>0</v>
      </c>
      <c r="W626" s="431">
        <v>8661</v>
      </c>
    </row>
    <row r="627" spans="1:23" hidden="1" x14ac:dyDescent="0.25">
      <c r="A627" s="489" t="s">
        <v>1694</v>
      </c>
      <c r="B627" s="498" t="s">
        <v>1695</v>
      </c>
      <c r="C627" s="491">
        <v>0</v>
      </c>
      <c r="D627" s="491">
        <v>0</v>
      </c>
      <c r="E627" s="492">
        <v>0</v>
      </c>
      <c r="F627" s="464">
        <v>0</v>
      </c>
      <c r="G627" s="493">
        <v>0</v>
      </c>
      <c r="W627" s="431">
        <v>8662</v>
      </c>
    </row>
    <row r="628" spans="1:23" hidden="1" x14ac:dyDescent="0.25">
      <c r="A628" s="489" t="s">
        <v>1696</v>
      </c>
      <c r="B628" s="499" t="s">
        <v>1697</v>
      </c>
      <c r="C628" s="491">
        <v>0</v>
      </c>
      <c r="D628" s="491">
        <v>0</v>
      </c>
      <c r="E628" s="492">
        <v>0</v>
      </c>
      <c r="F628" s="464">
        <v>0</v>
      </c>
      <c r="G628" s="493">
        <v>0</v>
      </c>
      <c r="W628" s="431">
        <v>8663</v>
      </c>
    </row>
    <row r="629" spans="1:23" hidden="1" x14ac:dyDescent="0.25">
      <c r="A629" s="489" t="s">
        <v>1698</v>
      </c>
      <c r="B629" s="499" t="s">
        <v>1699</v>
      </c>
      <c r="C629" s="491">
        <v>0</v>
      </c>
      <c r="D629" s="491">
        <v>0</v>
      </c>
      <c r="E629" s="492">
        <v>0</v>
      </c>
      <c r="F629" s="464">
        <v>0</v>
      </c>
      <c r="G629" s="493">
        <v>0</v>
      </c>
      <c r="W629" s="431">
        <v>8664</v>
      </c>
    </row>
    <row r="630" spans="1:23" hidden="1" x14ac:dyDescent="0.25">
      <c r="A630" s="489" t="s">
        <v>1700</v>
      </c>
      <c r="B630" s="499" t="s">
        <v>1701</v>
      </c>
      <c r="C630" s="491">
        <v>0</v>
      </c>
      <c r="D630" s="491">
        <v>0</v>
      </c>
      <c r="E630" s="492">
        <v>0</v>
      </c>
      <c r="F630" s="464">
        <v>0</v>
      </c>
      <c r="G630" s="493">
        <v>0</v>
      </c>
      <c r="W630" s="431">
        <v>8665</v>
      </c>
    </row>
    <row r="631" spans="1:23" hidden="1" x14ac:dyDescent="0.25">
      <c r="A631" s="489" t="s">
        <v>1702</v>
      </c>
      <c r="B631" s="499" t="s">
        <v>1703</v>
      </c>
      <c r="C631" s="491">
        <v>0</v>
      </c>
      <c r="D631" s="491">
        <v>0</v>
      </c>
      <c r="E631" s="492">
        <v>0</v>
      </c>
      <c r="F631" s="464">
        <v>0</v>
      </c>
      <c r="G631" s="493">
        <v>0</v>
      </c>
      <c r="W631" s="431">
        <v>8666</v>
      </c>
    </row>
    <row r="632" spans="1:23" hidden="1" x14ac:dyDescent="0.25">
      <c r="A632" s="489" t="s">
        <v>1704</v>
      </c>
      <c r="B632" s="499" t="s">
        <v>1705</v>
      </c>
      <c r="C632" s="491">
        <v>0</v>
      </c>
      <c r="D632" s="491">
        <v>0</v>
      </c>
      <c r="E632" s="492">
        <v>0</v>
      </c>
      <c r="F632" s="464">
        <v>0</v>
      </c>
      <c r="G632" s="493">
        <v>0</v>
      </c>
      <c r="W632" s="431">
        <v>8667</v>
      </c>
    </row>
    <row r="633" spans="1:23" hidden="1" x14ac:dyDescent="0.25">
      <c r="A633" s="489" t="s">
        <v>1706</v>
      </c>
      <c r="B633" s="498" t="s">
        <v>1707</v>
      </c>
      <c r="C633" s="491">
        <v>0</v>
      </c>
      <c r="D633" s="491">
        <v>0</v>
      </c>
      <c r="E633" s="492">
        <v>0</v>
      </c>
      <c r="F633" s="464">
        <v>0</v>
      </c>
      <c r="G633" s="493">
        <v>0</v>
      </c>
      <c r="W633" s="431">
        <v>8668</v>
      </c>
    </row>
    <row r="634" spans="1:23" hidden="1" x14ac:dyDescent="0.25">
      <c r="A634" s="489" t="s">
        <v>1708</v>
      </c>
      <c r="B634" s="499" t="s">
        <v>1709</v>
      </c>
      <c r="C634" s="491">
        <v>0</v>
      </c>
      <c r="D634" s="491">
        <v>0</v>
      </c>
      <c r="E634" s="492">
        <v>0</v>
      </c>
      <c r="F634" s="464">
        <v>0</v>
      </c>
      <c r="G634" s="493">
        <v>0</v>
      </c>
      <c r="W634" s="431">
        <v>8669</v>
      </c>
    </row>
    <row r="635" spans="1:23" hidden="1" x14ac:dyDescent="0.25">
      <c r="A635" s="489" t="s">
        <v>1710</v>
      </c>
      <c r="B635" s="499" t="s">
        <v>1711</v>
      </c>
      <c r="C635" s="491">
        <v>0</v>
      </c>
      <c r="D635" s="491">
        <v>0</v>
      </c>
      <c r="E635" s="492">
        <v>0</v>
      </c>
      <c r="F635" s="464">
        <v>0</v>
      </c>
      <c r="G635" s="493">
        <v>0</v>
      </c>
      <c r="W635" s="431">
        <v>8670</v>
      </c>
    </row>
    <row r="636" spans="1:23" hidden="1" x14ac:dyDescent="0.25">
      <c r="A636" s="489" t="s">
        <v>1712</v>
      </c>
      <c r="B636" s="499" t="s">
        <v>1713</v>
      </c>
      <c r="C636" s="491">
        <v>0</v>
      </c>
      <c r="D636" s="491">
        <v>0</v>
      </c>
      <c r="E636" s="492">
        <v>0</v>
      </c>
      <c r="F636" s="464">
        <v>0</v>
      </c>
      <c r="G636" s="493">
        <v>0</v>
      </c>
      <c r="W636" s="431">
        <v>8671</v>
      </c>
    </row>
    <row r="637" spans="1:23" hidden="1" x14ac:dyDescent="0.25">
      <c r="A637" s="489" t="s">
        <v>1714</v>
      </c>
      <c r="B637" s="499" t="s">
        <v>1715</v>
      </c>
      <c r="C637" s="491">
        <v>0</v>
      </c>
      <c r="D637" s="491">
        <v>0</v>
      </c>
      <c r="E637" s="492">
        <v>0</v>
      </c>
      <c r="F637" s="464">
        <v>0</v>
      </c>
      <c r="G637" s="493">
        <v>0</v>
      </c>
    </row>
    <row r="638" spans="1:23" hidden="1" x14ac:dyDescent="0.25">
      <c r="A638" s="489" t="s">
        <v>1716</v>
      </c>
      <c r="B638" s="499" t="s">
        <v>1717</v>
      </c>
      <c r="C638" s="491">
        <v>0</v>
      </c>
      <c r="D638" s="491">
        <v>0</v>
      </c>
      <c r="E638" s="492">
        <v>0</v>
      </c>
      <c r="F638" s="464">
        <v>0</v>
      </c>
      <c r="G638" s="493">
        <v>0</v>
      </c>
      <c r="W638" s="431">
        <v>8672</v>
      </c>
    </row>
    <row r="639" spans="1:23" ht="25.5" hidden="1" x14ac:dyDescent="0.25">
      <c r="A639" s="489" t="s">
        <v>1718</v>
      </c>
      <c r="B639" s="499" t="s">
        <v>1719</v>
      </c>
      <c r="C639" s="491">
        <v>0</v>
      </c>
      <c r="D639" s="491">
        <v>0</v>
      </c>
      <c r="E639" s="492">
        <v>0</v>
      </c>
      <c r="F639" s="464">
        <v>0</v>
      </c>
      <c r="G639" s="493">
        <v>0</v>
      </c>
      <c r="W639" s="431">
        <v>8673</v>
      </c>
    </row>
    <row r="640" spans="1:23" ht="38.25" hidden="1" x14ac:dyDescent="0.25">
      <c r="A640" s="489" t="s">
        <v>1720</v>
      </c>
      <c r="B640" s="499" t="s">
        <v>1721</v>
      </c>
      <c r="C640" s="491">
        <v>0</v>
      </c>
      <c r="D640" s="491">
        <v>0</v>
      </c>
      <c r="E640" s="492">
        <v>0</v>
      </c>
      <c r="F640" s="464">
        <v>0</v>
      </c>
      <c r="G640" s="493">
        <v>0</v>
      </c>
    </row>
    <row r="641" spans="1:23" hidden="1" x14ac:dyDescent="0.25">
      <c r="A641" s="489" t="s">
        <v>1722</v>
      </c>
      <c r="B641" s="499" t="s">
        <v>1723</v>
      </c>
      <c r="C641" s="491">
        <v>0</v>
      </c>
      <c r="D641" s="491">
        <v>0</v>
      </c>
      <c r="E641" s="492">
        <v>0</v>
      </c>
      <c r="F641" s="464">
        <v>0</v>
      </c>
      <c r="G641" s="493">
        <v>0</v>
      </c>
      <c r="W641" s="431">
        <v>8675</v>
      </c>
    </row>
    <row r="642" spans="1:23" hidden="1" x14ac:dyDescent="0.25">
      <c r="A642" s="489" t="s">
        <v>1724</v>
      </c>
      <c r="B642" s="498" t="s">
        <v>1725</v>
      </c>
      <c r="C642" s="491">
        <v>0</v>
      </c>
      <c r="D642" s="491">
        <v>0</v>
      </c>
      <c r="E642" s="492">
        <v>0</v>
      </c>
      <c r="F642" s="464">
        <v>0</v>
      </c>
      <c r="G642" s="493">
        <v>0</v>
      </c>
      <c r="W642" s="431">
        <v>8676</v>
      </c>
    </row>
    <row r="643" spans="1:23" hidden="1" x14ac:dyDescent="0.25">
      <c r="A643" s="489" t="s">
        <v>1726</v>
      </c>
      <c r="B643" s="499" t="s">
        <v>1727</v>
      </c>
      <c r="C643" s="491">
        <v>0</v>
      </c>
      <c r="D643" s="491">
        <v>0</v>
      </c>
      <c r="E643" s="492">
        <v>0</v>
      </c>
      <c r="F643" s="464">
        <v>0</v>
      </c>
      <c r="G643" s="493">
        <v>0</v>
      </c>
      <c r="W643" s="431">
        <v>8677</v>
      </c>
    </row>
    <row r="644" spans="1:23" ht="25.5" hidden="1" x14ac:dyDescent="0.25">
      <c r="A644" s="489" t="s">
        <v>1728</v>
      </c>
      <c r="B644" s="499" t="s">
        <v>1729</v>
      </c>
      <c r="C644" s="491">
        <v>0</v>
      </c>
      <c r="D644" s="491">
        <v>0</v>
      </c>
      <c r="E644" s="492">
        <v>0</v>
      </c>
      <c r="F644" s="464">
        <v>0</v>
      </c>
      <c r="G644" s="493">
        <v>0</v>
      </c>
      <c r="W644" s="431">
        <v>8678</v>
      </c>
    </row>
    <row r="645" spans="1:23" hidden="1" x14ac:dyDescent="0.25">
      <c r="A645" s="489" t="s">
        <v>1730</v>
      </c>
      <c r="B645" s="499" t="s">
        <v>1731</v>
      </c>
      <c r="C645" s="491">
        <v>0</v>
      </c>
      <c r="D645" s="491">
        <v>0</v>
      </c>
      <c r="E645" s="492">
        <v>0</v>
      </c>
      <c r="F645" s="464">
        <v>0</v>
      </c>
      <c r="G645" s="493">
        <v>0</v>
      </c>
      <c r="W645" s="431">
        <v>8679</v>
      </c>
    </row>
    <row r="646" spans="1:23" ht="38.25" hidden="1" x14ac:dyDescent="0.25">
      <c r="A646" s="489" t="s">
        <v>1732</v>
      </c>
      <c r="B646" s="499" t="s">
        <v>1733</v>
      </c>
      <c r="C646" s="491">
        <v>0</v>
      </c>
      <c r="D646" s="491">
        <v>0</v>
      </c>
      <c r="E646" s="492">
        <v>0</v>
      </c>
      <c r="F646" s="464">
        <v>0</v>
      </c>
      <c r="G646" s="493">
        <v>0</v>
      </c>
      <c r="W646" s="431">
        <v>8680</v>
      </c>
    </row>
    <row r="647" spans="1:23" ht="25.5" x14ac:dyDescent="0.25">
      <c r="A647" s="489" t="s">
        <v>1734</v>
      </c>
      <c r="B647" s="497" t="s">
        <v>1735</v>
      </c>
      <c r="C647" s="491">
        <v>10000</v>
      </c>
      <c r="D647" s="491">
        <v>0</v>
      </c>
      <c r="E647" s="492">
        <v>0</v>
      </c>
      <c r="F647" s="464">
        <v>0</v>
      </c>
      <c r="G647" s="493">
        <v>0</v>
      </c>
      <c r="W647" s="431">
        <v>8681</v>
      </c>
    </row>
    <row r="648" spans="1:23" ht="25.5" hidden="1" x14ac:dyDescent="0.25">
      <c r="A648" s="489" t="s">
        <v>1736</v>
      </c>
      <c r="B648" s="498" t="s">
        <v>1737</v>
      </c>
      <c r="C648" s="491">
        <v>0</v>
      </c>
      <c r="D648" s="491">
        <v>0</v>
      </c>
      <c r="E648" s="492">
        <v>0</v>
      </c>
      <c r="F648" s="464">
        <v>0</v>
      </c>
      <c r="G648" s="493">
        <v>0</v>
      </c>
      <c r="W648" s="431">
        <v>8682</v>
      </c>
    </row>
    <row r="649" spans="1:23" hidden="1" x14ac:dyDescent="0.25">
      <c r="A649" s="489" t="s">
        <v>1738</v>
      </c>
      <c r="B649" s="499" t="s">
        <v>1739</v>
      </c>
      <c r="C649" s="491">
        <v>0</v>
      </c>
      <c r="D649" s="491">
        <v>0</v>
      </c>
      <c r="E649" s="492">
        <v>0</v>
      </c>
      <c r="F649" s="464">
        <v>0</v>
      </c>
      <c r="G649" s="493">
        <v>0</v>
      </c>
      <c r="W649" s="431">
        <v>8683</v>
      </c>
    </row>
    <row r="650" spans="1:23" hidden="1" x14ac:dyDescent="0.25">
      <c r="A650" s="489" t="s">
        <v>1740</v>
      </c>
      <c r="B650" s="499" t="s">
        <v>1741</v>
      </c>
      <c r="C650" s="491">
        <v>0</v>
      </c>
      <c r="D650" s="491">
        <v>0</v>
      </c>
      <c r="E650" s="492">
        <v>0</v>
      </c>
      <c r="F650" s="464">
        <v>0</v>
      </c>
      <c r="G650" s="493">
        <v>0</v>
      </c>
      <c r="W650" s="431">
        <v>8684</v>
      </c>
    </row>
    <row r="651" spans="1:23" hidden="1" x14ac:dyDescent="0.25">
      <c r="A651" s="489" t="s">
        <v>1742</v>
      </c>
      <c r="B651" s="499" t="s">
        <v>1743</v>
      </c>
      <c r="C651" s="491">
        <v>0</v>
      </c>
      <c r="D651" s="491">
        <v>0</v>
      </c>
      <c r="E651" s="492">
        <v>0</v>
      </c>
      <c r="F651" s="464">
        <v>0</v>
      </c>
      <c r="G651" s="493">
        <v>0</v>
      </c>
      <c r="W651" s="431">
        <v>8685</v>
      </c>
    </row>
    <row r="652" spans="1:23" ht="38.25" hidden="1" x14ac:dyDescent="0.25">
      <c r="A652" s="489" t="s">
        <v>1744</v>
      </c>
      <c r="B652" s="499" t="s">
        <v>1745</v>
      </c>
      <c r="C652" s="491">
        <v>0</v>
      </c>
      <c r="D652" s="491">
        <v>0</v>
      </c>
      <c r="E652" s="492">
        <v>0</v>
      </c>
      <c r="F652" s="464">
        <v>0</v>
      </c>
      <c r="G652" s="493">
        <v>0</v>
      </c>
      <c r="W652" s="431">
        <v>8686</v>
      </c>
    </row>
    <row r="653" spans="1:23" hidden="1" x14ac:dyDescent="0.25">
      <c r="A653" s="489" t="s">
        <v>1746</v>
      </c>
      <c r="B653" s="498" t="s">
        <v>1747</v>
      </c>
      <c r="C653" s="491">
        <v>0</v>
      </c>
      <c r="D653" s="491">
        <v>0</v>
      </c>
      <c r="E653" s="492">
        <v>0</v>
      </c>
      <c r="F653" s="464">
        <v>0</v>
      </c>
      <c r="G653" s="493">
        <v>0</v>
      </c>
      <c r="W653" s="431">
        <v>8687</v>
      </c>
    </row>
    <row r="654" spans="1:23" hidden="1" x14ac:dyDescent="0.25">
      <c r="A654" s="489" t="s">
        <v>1748</v>
      </c>
      <c r="B654" s="499" t="s">
        <v>1749</v>
      </c>
      <c r="C654" s="491">
        <v>0</v>
      </c>
      <c r="D654" s="491">
        <v>0</v>
      </c>
      <c r="E654" s="492">
        <v>0</v>
      </c>
      <c r="F654" s="464">
        <v>0</v>
      </c>
      <c r="G654" s="493">
        <v>0</v>
      </c>
      <c r="W654" s="431">
        <v>8688</v>
      </c>
    </row>
    <row r="655" spans="1:23" hidden="1" x14ac:dyDescent="0.25">
      <c r="A655" s="489" t="s">
        <v>1750</v>
      </c>
      <c r="B655" s="499" t="s">
        <v>1751</v>
      </c>
      <c r="C655" s="491">
        <v>0</v>
      </c>
      <c r="D655" s="491">
        <v>0</v>
      </c>
      <c r="E655" s="492">
        <v>0</v>
      </c>
      <c r="F655" s="464">
        <v>0</v>
      </c>
      <c r="G655" s="493">
        <v>0</v>
      </c>
      <c r="W655" s="431">
        <v>8689</v>
      </c>
    </row>
    <row r="656" spans="1:23" hidden="1" x14ac:dyDescent="0.25">
      <c r="A656" s="489" t="s">
        <v>1752</v>
      </c>
      <c r="B656" s="499" t="s">
        <v>1753</v>
      </c>
      <c r="C656" s="491">
        <v>0</v>
      </c>
      <c r="D656" s="491">
        <v>0</v>
      </c>
      <c r="E656" s="492">
        <v>0</v>
      </c>
      <c r="F656" s="464">
        <v>0</v>
      </c>
      <c r="G656" s="493">
        <v>0</v>
      </c>
      <c r="W656" s="431">
        <v>8690</v>
      </c>
    </row>
    <row r="657" spans="1:23" hidden="1" x14ac:dyDescent="0.25">
      <c r="A657" s="489" t="s">
        <v>1754</v>
      </c>
      <c r="B657" s="498" t="s">
        <v>1755</v>
      </c>
      <c r="C657" s="491">
        <v>0</v>
      </c>
      <c r="D657" s="491">
        <v>0</v>
      </c>
      <c r="E657" s="492">
        <v>0</v>
      </c>
      <c r="F657" s="464">
        <v>0</v>
      </c>
      <c r="G657" s="493">
        <v>0</v>
      </c>
      <c r="W657" s="431">
        <v>8691</v>
      </c>
    </row>
    <row r="658" spans="1:23" ht="38.25" hidden="1" x14ac:dyDescent="0.25">
      <c r="A658" s="489" t="s">
        <v>1756</v>
      </c>
      <c r="B658" s="498" t="s">
        <v>1757</v>
      </c>
      <c r="C658" s="491">
        <v>0</v>
      </c>
      <c r="D658" s="491">
        <v>0</v>
      </c>
      <c r="E658" s="492">
        <v>0</v>
      </c>
      <c r="F658" s="464">
        <v>0</v>
      </c>
      <c r="G658" s="493">
        <v>0</v>
      </c>
      <c r="W658" s="431">
        <v>8692</v>
      </c>
    </row>
    <row r="659" spans="1:23" hidden="1" x14ac:dyDescent="0.25">
      <c r="A659" s="489" t="s">
        <v>1758</v>
      </c>
      <c r="B659" s="499" t="s">
        <v>1759</v>
      </c>
      <c r="C659" s="491">
        <v>0</v>
      </c>
      <c r="D659" s="491">
        <v>0</v>
      </c>
      <c r="E659" s="492">
        <v>0</v>
      </c>
      <c r="F659" s="464">
        <v>0</v>
      </c>
      <c r="G659" s="493">
        <v>0</v>
      </c>
      <c r="W659" s="431">
        <v>8693</v>
      </c>
    </row>
    <row r="660" spans="1:23" hidden="1" x14ac:dyDescent="0.25">
      <c r="A660" s="489" t="s">
        <v>1760</v>
      </c>
      <c r="B660" s="499" t="s">
        <v>1761</v>
      </c>
      <c r="C660" s="491">
        <v>0</v>
      </c>
      <c r="D660" s="491">
        <v>0</v>
      </c>
      <c r="E660" s="492">
        <v>0</v>
      </c>
      <c r="F660" s="464">
        <v>0</v>
      </c>
      <c r="G660" s="493">
        <v>0</v>
      </c>
      <c r="W660" s="431">
        <v>8694</v>
      </c>
    </row>
    <row r="661" spans="1:23" ht="25.5" hidden="1" x14ac:dyDescent="0.25">
      <c r="A661" s="489" t="s">
        <v>1762</v>
      </c>
      <c r="B661" s="499" t="s">
        <v>1763</v>
      </c>
      <c r="C661" s="491">
        <v>0</v>
      </c>
      <c r="D661" s="491">
        <v>0</v>
      </c>
      <c r="E661" s="492">
        <v>0</v>
      </c>
      <c r="F661" s="464">
        <v>0</v>
      </c>
      <c r="G661" s="493">
        <v>0</v>
      </c>
      <c r="W661" s="431">
        <v>8695</v>
      </c>
    </row>
    <row r="662" spans="1:23" x14ac:dyDescent="0.25">
      <c r="A662" s="489" t="s">
        <v>1764</v>
      </c>
      <c r="B662" s="498" t="s">
        <v>1765</v>
      </c>
      <c r="C662" s="491">
        <v>10000</v>
      </c>
      <c r="D662" s="491">
        <v>0</v>
      </c>
      <c r="E662" s="492">
        <v>0</v>
      </c>
      <c r="F662" s="464">
        <v>0</v>
      </c>
      <c r="G662" s="493">
        <v>0</v>
      </c>
      <c r="W662" s="431">
        <v>8696</v>
      </c>
    </row>
    <row r="663" spans="1:23" ht="25.5" hidden="1" x14ac:dyDescent="0.25">
      <c r="A663" s="489" t="s">
        <v>1766</v>
      </c>
      <c r="B663" s="498" t="s">
        <v>1767</v>
      </c>
      <c r="C663" s="491">
        <v>0</v>
      </c>
      <c r="D663" s="491">
        <v>0</v>
      </c>
      <c r="E663" s="492">
        <v>0</v>
      </c>
      <c r="F663" s="464">
        <v>0</v>
      </c>
      <c r="G663" s="493">
        <v>0</v>
      </c>
      <c r="W663" s="431">
        <v>8697</v>
      </c>
    </row>
    <row r="664" spans="1:23" hidden="1" x14ac:dyDescent="0.25">
      <c r="A664" s="489" t="s">
        <v>1768</v>
      </c>
      <c r="B664" s="499" t="s">
        <v>1769</v>
      </c>
      <c r="C664" s="491">
        <v>0</v>
      </c>
      <c r="D664" s="491">
        <v>0</v>
      </c>
      <c r="E664" s="492">
        <v>0</v>
      </c>
      <c r="F664" s="464">
        <v>0</v>
      </c>
      <c r="G664" s="493">
        <v>0</v>
      </c>
      <c r="W664" s="431">
        <v>8698</v>
      </c>
    </row>
    <row r="665" spans="1:23" hidden="1" x14ac:dyDescent="0.25">
      <c r="A665" s="489" t="s">
        <v>1770</v>
      </c>
      <c r="B665" s="499" t="s">
        <v>1771</v>
      </c>
      <c r="C665" s="491">
        <v>0</v>
      </c>
      <c r="D665" s="491">
        <v>0</v>
      </c>
      <c r="E665" s="492">
        <v>0</v>
      </c>
      <c r="F665" s="464">
        <v>0</v>
      </c>
      <c r="G665" s="493">
        <v>0</v>
      </c>
      <c r="W665" s="431">
        <v>8699</v>
      </c>
    </row>
    <row r="666" spans="1:23" hidden="1" x14ac:dyDescent="0.25">
      <c r="A666" s="489" t="s">
        <v>1772</v>
      </c>
      <c r="B666" s="499" t="s">
        <v>1773</v>
      </c>
      <c r="C666" s="491">
        <v>0</v>
      </c>
      <c r="D666" s="491">
        <v>0</v>
      </c>
      <c r="E666" s="492">
        <v>0</v>
      </c>
      <c r="F666" s="464">
        <v>0</v>
      </c>
      <c r="G666" s="493">
        <v>0</v>
      </c>
      <c r="W666" s="431">
        <v>8700</v>
      </c>
    </row>
    <row r="667" spans="1:23" hidden="1" x14ac:dyDescent="0.25">
      <c r="A667" s="489" t="s">
        <v>1774</v>
      </c>
      <c r="B667" s="499" t="s">
        <v>1775</v>
      </c>
      <c r="C667" s="491">
        <v>0</v>
      </c>
      <c r="D667" s="491">
        <v>0</v>
      </c>
      <c r="E667" s="492">
        <v>0</v>
      </c>
      <c r="F667" s="464">
        <v>0</v>
      </c>
      <c r="G667" s="493">
        <v>0</v>
      </c>
      <c r="W667" s="431">
        <v>8701</v>
      </c>
    </row>
    <row r="668" spans="1:23" hidden="1" x14ac:dyDescent="0.25">
      <c r="A668" s="489" t="s">
        <v>1776</v>
      </c>
      <c r="B668" s="499" t="s">
        <v>1777</v>
      </c>
      <c r="C668" s="491">
        <v>0</v>
      </c>
      <c r="D668" s="491">
        <v>0</v>
      </c>
      <c r="E668" s="492">
        <v>0</v>
      </c>
      <c r="F668" s="464">
        <v>0</v>
      </c>
      <c r="G668" s="493">
        <v>0</v>
      </c>
      <c r="W668" s="431">
        <v>8702</v>
      </c>
    </row>
    <row r="669" spans="1:23" ht="25.5" hidden="1" x14ac:dyDescent="0.25">
      <c r="A669" s="489" t="s">
        <v>1778</v>
      </c>
      <c r="B669" s="499" t="s">
        <v>1779</v>
      </c>
      <c r="C669" s="491">
        <v>0</v>
      </c>
      <c r="D669" s="491">
        <v>0</v>
      </c>
      <c r="E669" s="492">
        <v>0</v>
      </c>
      <c r="F669" s="464">
        <v>0</v>
      </c>
      <c r="G669" s="493">
        <v>0</v>
      </c>
      <c r="W669" s="431">
        <v>8703</v>
      </c>
    </row>
    <row r="670" spans="1:23" ht="38.25" hidden="1" x14ac:dyDescent="0.25">
      <c r="A670" s="489" t="s">
        <v>1780</v>
      </c>
      <c r="B670" s="499" t="s">
        <v>1781</v>
      </c>
      <c r="C670" s="491">
        <v>0</v>
      </c>
      <c r="D670" s="491">
        <v>0</v>
      </c>
      <c r="E670" s="492">
        <v>0</v>
      </c>
      <c r="F670" s="464">
        <v>0</v>
      </c>
      <c r="G670" s="493">
        <v>0</v>
      </c>
      <c r="W670" s="431">
        <v>8704</v>
      </c>
    </row>
    <row r="671" spans="1:23" hidden="1" x14ac:dyDescent="0.25">
      <c r="A671" s="489" t="s">
        <v>1782</v>
      </c>
      <c r="B671" s="498" t="s">
        <v>1783</v>
      </c>
      <c r="C671" s="491">
        <v>0</v>
      </c>
      <c r="D671" s="491">
        <v>0</v>
      </c>
      <c r="E671" s="492">
        <v>0</v>
      </c>
      <c r="F671" s="464">
        <v>0</v>
      </c>
      <c r="G671" s="493">
        <v>0</v>
      </c>
      <c r="W671" s="431">
        <v>8705</v>
      </c>
    </row>
    <row r="672" spans="1:23" hidden="1" x14ac:dyDescent="0.25">
      <c r="A672" s="489" t="s">
        <v>1784</v>
      </c>
      <c r="B672" s="498" t="s">
        <v>1785</v>
      </c>
      <c r="C672" s="491">
        <v>0</v>
      </c>
      <c r="D672" s="491">
        <v>0</v>
      </c>
      <c r="E672" s="492">
        <v>0</v>
      </c>
      <c r="F672" s="464">
        <v>0</v>
      </c>
      <c r="G672" s="493">
        <v>0</v>
      </c>
      <c r="W672" s="431">
        <v>8706</v>
      </c>
    </row>
    <row r="673" spans="1:23" hidden="1" x14ac:dyDescent="0.25">
      <c r="A673" s="489" t="s">
        <v>1786</v>
      </c>
      <c r="B673" s="499" t="s">
        <v>1787</v>
      </c>
      <c r="C673" s="491">
        <v>0</v>
      </c>
      <c r="D673" s="491">
        <v>0</v>
      </c>
      <c r="E673" s="492">
        <v>0</v>
      </c>
      <c r="F673" s="464">
        <v>0</v>
      </c>
      <c r="G673" s="493">
        <v>0</v>
      </c>
      <c r="W673" s="431">
        <v>8707</v>
      </c>
    </row>
    <row r="674" spans="1:23" hidden="1" x14ac:dyDescent="0.25">
      <c r="A674" s="489" t="s">
        <v>1788</v>
      </c>
      <c r="B674" s="499" t="s">
        <v>1789</v>
      </c>
      <c r="C674" s="491">
        <v>0</v>
      </c>
      <c r="D674" s="491">
        <v>0</v>
      </c>
      <c r="E674" s="492">
        <v>0</v>
      </c>
      <c r="F674" s="464">
        <v>0</v>
      </c>
      <c r="G674" s="493">
        <v>0</v>
      </c>
      <c r="W674" s="431">
        <v>8708</v>
      </c>
    </row>
    <row r="675" spans="1:23" hidden="1" x14ac:dyDescent="0.25">
      <c r="A675" s="489" t="s">
        <v>1790</v>
      </c>
      <c r="B675" s="499" t="s">
        <v>1791</v>
      </c>
      <c r="C675" s="491">
        <v>0</v>
      </c>
      <c r="D675" s="491">
        <v>0</v>
      </c>
      <c r="E675" s="492">
        <v>0</v>
      </c>
      <c r="F675" s="464">
        <v>0</v>
      </c>
      <c r="G675" s="493">
        <v>0</v>
      </c>
      <c r="W675" s="431">
        <v>8709</v>
      </c>
    </row>
    <row r="676" spans="1:23" hidden="1" x14ac:dyDescent="0.25">
      <c r="A676" s="489" t="s">
        <v>1792</v>
      </c>
      <c r="B676" s="498" t="s">
        <v>1793</v>
      </c>
      <c r="C676" s="491">
        <v>0</v>
      </c>
      <c r="D676" s="491">
        <v>0</v>
      </c>
      <c r="E676" s="492">
        <v>0</v>
      </c>
      <c r="F676" s="464">
        <v>0</v>
      </c>
      <c r="G676" s="493">
        <v>0</v>
      </c>
      <c r="W676" s="431">
        <v>8710</v>
      </c>
    </row>
    <row r="677" spans="1:23" hidden="1" x14ac:dyDescent="0.25">
      <c r="A677" s="489" t="s">
        <v>1794</v>
      </c>
      <c r="B677" s="497" t="s">
        <v>1795</v>
      </c>
      <c r="C677" s="491">
        <v>0</v>
      </c>
      <c r="D677" s="491">
        <v>0</v>
      </c>
      <c r="E677" s="492">
        <v>0</v>
      </c>
      <c r="F677" s="464">
        <v>0</v>
      </c>
      <c r="G677" s="493">
        <v>0</v>
      </c>
      <c r="W677" s="431">
        <v>8711</v>
      </c>
    </row>
    <row r="678" spans="1:23" ht="25.5" hidden="1" x14ac:dyDescent="0.25">
      <c r="A678" s="489" t="s">
        <v>1796</v>
      </c>
      <c r="B678" s="497" t="s">
        <v>1797</v>
      </c>
      <c r="C678" s="491">
        <v>0</v>
      </c>
      <c r="D678" s="491">
        <v>0</v>
      </c>
      <c r="E678" s="492">
        <v>0</v>
      </c>
      <c r="F678" s="464">
        <v>0</v>
      </c>
      <c r="G678" s="493">
        <v>0</v>
      </c>
      <c r="W678" s="431">
        <v>8712</v>
      </c>
    </row>
    <row r="679" spans="1:23" hidden="1" x14ac:dyDescent="0.25">
      <c r="A679" s="489" t="s">
        <v>1798</v>
      </c>
      <c r="B679" s="498" t="s">
        <v>1799</v>
      </c>
      <c r="C679" s="491">
        <v>0</v>
      </c>
      <c r="D679" s="491">
        <v>0</v>
      </c>
      <c r="E679" s="492">
        <v>0</v>
      </c>
      <c r="F679" s="464">
        <v>0</v>
      </c>
      <c r="G679" s="493">
        <v>0</v>
      </c>
      <c r="W679" s="431">
        <v>8713</v>
      </c>
    </row>
    <row r="680" spans="1:23" ht="25.5" hidden="1" x14ac:dyDescent="0.25">
      <c r="A680" s="489" t="s">
        <v>1800</v>
      </c>
      <c r="B680" s="499" t="s">
        <v>1801</v>
      </c>
      <c r="C680" s="491">
        <v>0</v>
      </c>
      <c r="D680" s="491">
        <v>0</v>
      </c>
      <c r="E680" s="492">
        <v>0</v>
      </c>
      <c r="F680" s="464">
        <v>0</v>
      </c>
      <c r="G680" s="493">
        <v>0</v>
      </c>
      <c r="W680" s="431">
        <v>8714</v>
      </c>
    </row>
    <row r="681" spans="1:23" ht="25.5" hidden="1" x14ac:dyDescent="0.25">
      <c r="A681" s="489" t="s">
        <v>1802</v>
      </c>
      <c r="B681" s="499" t="s">
        <v>1803</v>
      </c>
      <c r="C681" s="491">
        <v>0</v>
      </c>
      <c r="D681" s="491">
        <v>0</v>
      </c>
      <c r="E681" s="492">
        <v>0</v>
      </c>
      <c r="F681" s="464">
        <v>0</v>
      </c>
      <c r="G681" s="493">
        <v>0</v>
      </c>
      <c r="W681" s="431">
        <v>8715</v>
      </c>
    </row>
    <row r="682" spans="1:23" ht="25.5" hidden="1" x14ac:dyDescent="0.25">
      <c r="A682" s="489" t="s">
        <v>1804</v>
      </c>
      <c r="B682" s="499" t="s">
        <v>1805</v>
      </c>
      <c r="C682" s="491">
        <v>0</v>
      </c>
      <c r="D682" s="491">
        <v>0</v>
      </c>
      <c r="E682" s="492">
        <v>0</v>
      </c>
      <c r="F682" s="464">
        <v>0</v>
      </c>
      <c r="G682" s="493">
        <v>0</v>
      </c>
      <c r="W682" s="431">
        <v>8716</v>
      </c>
    </row>
    <row r="683" spans="1:23" hidden="1" x14ac:dyDescent="0.25">
      <c r="A683" s="489" t="s">
        <v>1806</v>
      </c>
      <c r="B683" s="499" t="s">
        <v>1807</v>
      </c>
      <c r="C683" s="491">
        <v>0</v>
      </c>
      <c r="D683" s="491">
        <v>0</v>
      </c>
      <c r="E683" s="492">
        <v>0</v>
      </c>
      <c r="F683" s="464">
        <v>0</v>
      </c>
      <c r="G683" s="493">
        <v>0</v>
      </c>
      <c r="W683" s="431">
        <v>8717</v>
      </c>
    </row>
    <row r="684" spans="1:23" ht="38.25" hidden="1" x14ac:dyDescent="0.25">
      <c r="A684" s="489" t="s">
        <v>1808</v>
      </c>
      <c r="B684" s="499" t="s">
        <v>1809</v>
      </c>
      <c r="C684" s="491">
        <v>0</v>
      </c>
      <c r="D684" s="491">
        <v>0</v>
      </c>
      <c r="E684" s="492">
        <v>0</v>
      </c>
      <c r="F684" s="464">
        <v>0</v>
      </c>
      <c r="G684" s="493">
        <v>0</v>
      </c>
      <c r="W684" s="431">
        <v>8718</v>
      </c>
    </row>
    <row r="685" spans="1:23" ht="25.5" hidden="1" x14ac:dyDescent="0.25">
      <c r="A685" s="489" t="s">
        <v>1810</v>
      </c>
      <c r="B685" s="499" t="s">
        <v>1811</v>
      </c>
      <c r="C685" s="491">
        <v>0</v>
      </c>
      <c r="D685" s="491">
        <v>0</v>
      </c>
      <c r="E685" s="492">
        <v>0</v>
      </c>
      <c r="F685" s="464">
        <v>0</v>
      </c>
      <c r="G685" s="493">
        <v>0</v>
      </c>
      <c r="W685" s="431">
        <v>8719</v>
      </c>
    </row>
    <row r="686" spans="1:23" hidden="1" x14ac:dyDescent="0.25">
      <c r="A686" s="489" t="s">
        <v>1812</v>
      </c>
      <c r="B686" s="498" t="s">
        <v>1813</v>
      </c>
      <c r="C686" s="491">
        <v>0</v>
      </c>
      <c r="D686" s="491">
        <v>0</v>
      </c>
      <c r="E686" s="492">
        <v>0</v>
      </c>
      <c r="F686" s="464">
        <v>0</v>
      </c>
      <c r="G686" s="493">
        <v>0</v>
      </c>
      <c r="W686" s="431">
        <v>8720</v>
      </c>
    </row>
    <row r="687" spans="1:23" ht="38.25" hidden="1" x14ac:dyDescent="0.25">
      <c r="A687" s="489" t="s">
        <v>1814</v>
      </c>
      <c r="B687" s="497" t="s">
        <v>1815</v>
      </c>
      <c r="C687" s="491">
        <v>0</v>
      </c>
      <c r="D687" s="491">
        <v>0</v>
      </c>
      <c r="E687" s="492">
        <v>0</v>
      </c>
      <c r="F687" s="464">
        <v>0</v>
      </c>
      <c r="G687" s="493">
        <v>0</v>
      </c>
      <c r="W687" s="431">
        <v>8721</v>
      </c>
    </row>
    <row r="688" spans="1:23" s="469" customFormat="1" hidden="1" x14ac:dyDescent="0.25">
      <c r="A688" s="483" t="s">
        <v>35</v>
      </c>
      <c r="B688" s="495" t="s">
        <v>1816</v>
      </c>
      <c r="C688" s="488">
        <v>0</v>
      </c>
      <c r="D688" s="488">
        <v>0</v>
      </c>
      <c r="E688" s="485">
        <v>0</v>
      </c>
      <c r="F688" s="457">
        <v>0</v>
      </c>
      <c r="G688" s="493">
        <v>0</v>
      </c>
      <c r="W688" s="469">
        <v>8722</v>
      </c>
    </row>
    <row r="689" spans="1:23" hidden="1" x14ac:dyDescent="0.25">
      <c r="A689" s="489" t="s">
        <v>1817</v>
      </c>
      <c r="B689" s="496" t="s">
        <v>1816</v>
      </c>
      <c r="C689" s="491">
        <v>0</v>
      </c>
      <c r="D689" s="491">
        <v>0</v>
      </c>
      <c r="E689" s="492">
        <v>0</v>
      </c>
      <c r="F689" s="464">
        <v>0</v>
      </c>
      <c r="G689" s="493">
        <v>0</v>
      </c>
      <c r="W689" s="431">
        <v>8723</v>
      </c>
    </row>
    <row r="690" spans="1:23" ht="25.5" hidden="1" x14ac:dyDescent="0.25">
      <c r="A690" s="489" t="s">
        <v>1818</v>
      </c>
      <c r="B690" s="497" t="s">
        <v>1819</v>
      </c>
      <c r="C690" s="491">
        <v>0</v>
      </c>
      <c r="D690" s="491">
        <v>0</v>
      </c>
      <c r="E690" s="492">
        <v>0</v>
      </c>
      <c r="F690" s="464">
        <v>0</v>
      </c>
      <c r="G690" s="493">
        <v>0</v>
      </c>
      <c r="W690" s="431">
        <v>8724</v>
      </c>
    </row>
    <row r="691" spans="1:23" ht="38.25" hidden="1" x14ac:dyDescent="0.25">
      <c r="A691" s="489" t="s">
        <v>1820</v>
      </c>
      <c r="B691" s="498" t="s">
        <v>1821</v>
      </c>
      <c r="C691" s="491">
        <v>0</v>
      </c>
      <c r="D691" s="491">
        <v>0</v>
      </c>
      <c r="E691" s="492">
        <v>0</v>
      </c>
      <c r="F691" s="464">
        <v>0</v>
      </c>
      <c r="G691" s="493">
        <v>0</v>
      </c>
      <c r="W691" s="431">
        <v>8725</v>
      </c>
    </row>
    <row r="692" spans="1:23" ht="38.25" hidden="1" x14ac:dyDescent="0.25">
      <c r="A692" s="489" t="s">
        <v>1822</v>
      </c>
      <c r="B692" s="498" t="s">
        <v>1823</v>
      </c>
      <c r="C692" s="491">
        <v>0</v>
      </c>
      <c r="D692" s="491">
        <v>0</v>
      </c>
      <c r="E692" s="492">
        <v>0</v>
      </c>
      <c r="F692" s="464">
        <v>0</v>
      </c>
      <c r="G692" s="493">
        <v>0</v>
      </c>
      <c r="W692" s="431">
        <v>8726</v>
      </c>
    </row>
    <row r="693" spans="1:23" hidden="1" x14ac:dyDescent="0.25">
      <c r="A693" s="489" t="s">
        <v>1824</v>
      </c>
      <c r="B693" s="497" t="s">
        <v>1825</v>
      </c>
      <c r="C693" s="491">
        <v>0</v>
      </c>
      <c r="D693" s="491">
        <v>0</v>
      </c>
      <c r="E693" s="492">
        <v>0</v>
      </c>
      <c r="F693" s="464">
        <v>0</v>
      </c>
      <c r="G693" s="493">
        <v>0</v>
      </c>
      <c r="W693" s="431">
        <v>8727</v>
      </c>
    </row>
    <row r="694" spans="1:23" ht="25.5" hidden="1" x14ac:dyDescent="0.25">
      <c r="A694" s="489" t="s">
        <v>1826</v>
      </c>
      <c r="B694" s="498" t="s">
        <v>1827</v>
      </c>
      <c r="C694" s="491">
        <v>0</v>
      </c>
      <c r="D694" s="491">
        <v>0</v>
      </c>
      <c r="E694" s="492">
        <v>0</v>
      </c>
      <c r="F694" s="464">
        <v>0</v>
      </c>
      <c r="G694" s="493">
        <v>0</v>
      </c>
      <c r="W694" s="431">
        <v>8728</v>
      </c>
    </row>
    <row r="695" spans="1:23" ht="25.5" hidden="1" x14ac:dyDescent="0.25">
      <c r="A695" s="489" t="s">
        <v>1828</v>
      </c>
      <c r="B695" s="498" t="s">
        <v>1829</v>
      </c>
      <c r="C695" s="491">
        <v>0</v>
      </c>
      <c r="D695" s="491">
        <v>0</v>
      </c>
      <c r="E695" s="492">
        <v>0</v>
      </c>
      <c r="F695" s="464">
        <v>0</v>
      </c>
      <c r="G695" s="493">
        <v>0</v>
      </c>
      <c r="W695" s="431">
        <v>8729</v>
      </c>
    </row>
    <row r="696" spans="1:23" hidden="1" x14ac:dyDescent="0.25">
      <c r="A696" s="489" t="s">
        <v>1830</v>
      </c>
      <c r="B696" s="498" t="s">
        <v>1831</v>
      </c>
      <c r="C696" s="491">
        <v>0</v>
      </c>
      <c r="D696" s="491">
        <v>0</v>
      </c>
      <c r="E696" s="492">
        <v>0</v>
      </c>
      <c r="F696" s="464">
        <v>0</v>
      </c>
      <c r="G696" s="493">
        <v>0</v>
      </c>
      <c r="W696" s="431">
        <v>8730</v>
      </c>
    </row>
    <row r="697" spans="1:23" hidden="1" x14ac:dyDescent="0.25">
      <c r="A697" s="489" t="s">
        <v>1832</v>
      </c>
      <c r="B697" s="497" t="s">
        <v>1833</v>
      </c>
      <c r="C697" s="491">
        <v>0</v>
      </c>
      <c r="D697" s="491">
        <v>0</v>
      </c>
      <c r="E697" s="492">
        <v>0</v>
      </c>
      <c r="F697" s="464">
        <v>0</v>
      </c>
      <c r="G697" s="493">
        <v>0</v>
      </c>
      <c r="W697" s="431">
        <v>8731</v>
      </c>
    </row>
    <row r="698" spans="1:23" hidden="1" x14ac:dyDescent="0.25">
      <c r="A698" s="489" t="s">
        <v>1834</v>
      </c>
      <c r="B698" s="498" t="s">
        <v>1835</v>
      </c>
      <c r="C698" s="491">
        <v>0</v>
      </c>
      <c r="D698" s="491">
        <v>0</v>
      </c>
      <c r="E698" s="492">
        <v>0</v>
      </c>
      <c r="F698" s="464">
        <v>0</v>
      </c>
      <c r="G698" s="493">
        <v>0</v>
      </c>
      <c r="W698" s="431">
        <v>8732</v>
      </c>
    </row>
    <row r="699" spans="1:23" ht="38.25" hidden="1" x14ac:dyDescent="0.25">
      <c r="A699" s="489" t="s">
        <v>1836</v>
      </c>
      <c r="B699" s="499" t="s">
        <v>1837</v>
      </c>
      <c r="C699" s="491">
        <v>0</v>
      </c>
      <c r="D699" s="491">
        <v>0</v>
      </c>
      <c r="E699" s="492">
        <v>0</v>
      </c>
      <c r="F699" s="464">
        <v>0</v>
      </c>
      <c r="G699" s="493">
        <v>0</v>
      </c>
      <c r="W699" s="431">
        <v>8733</v>
      </c>
    </row>
    <row r="700" spans="1:23" ht="25.5" hidden="1" x14ac:dyDescent="0.25">
      <c r="A700" s="489" t="s">
        <v>1838</v>
      </c>
      <c r="B700" s="499" t="s">
        <v>1839</v>
      </c>
      <c r="C700" s="491">
        <v>0</v>
      </c>
      <c r="D700" s="491">
        <v>0</v>
      </c>
      <c r="E700" s="492">
        <v>0</v>
      </c>
      <c r="F700" s="464">
        <v>0</v>
      </c>
      <c r="G700" s="493">
        <v>0</v>
      </c>
      <c r="W700" s="431">
        <v>8734</v>
      </c>
    </row>
    <row r="701" spans="1:23" hidden="1" x14ac:dyDescent="0.25">
      <c r="A701" s="489" t="s">
        <v>1840</v>
      </c>
      <c r="B701" s="498" t="s">
        <v>1841</v>
      </c>
      <c r="C701" s="491">
        <v>0</v>
      </c>
      <c r="D701" s="491">
        <v>0</v>
      </c>
      <c r="E701" s="492">
        <v>0</v>
      </c>
      <c r="F701" s="464">
        <v>0</v>
      </c>
      <c r="G701" s="493">
        <v>0</v>
      </c>
      <c r="W701" s="431">
        <v>8735</v>
      </c>
    </row>
    <row r="702" spans="1:23" ht="38.25" hidden="1" x14ac:dyDescent="0.25">
      <c r="A702" s="489" t="s">
        <v>1842</v>
      </c>
      <c r="B702" s="499" t="s">
        <v>1843</v>
      </c>
      <c r="C702" s="491">
        <v>0</v>
      </c>
      <c r="D702" s="491">
        <v>0</v>
      </c>
      <c r="E702" s="492">
        <v>0</v>
      </c>
      <c r="F702" s="464">
        <v>0</v>
      </c>
      <c r="G702" s="493">
        <v>0</v>
      </c>
      <c r="W702" s="431">
        <v>8736</v>
      </c>
    </row>
    <row r="703" spans="1:23" ht="25.5" hidden="1" x14ac:dyDescent="0.25">
      <c r="A703" s="489" t="s">
        <v>1844</v>
      </c>
      <c r="B703" s="499" t="s">
        <v>1845</v>
      </c>
      <c r="C703" s="491">
        <v>0</v>
      </c>
      <c r="D703" s="491">
        <v>0</v>
      </c>
      <c r="E703" s="492">
        <v>0</v>
      </c>
      <c r="F703" s="464">
        <v>0</v>
      </c>
      <c r="G703" s="493">
        <v>0</v>
      </c>
      <c r="W703" s="431">
        <v>8737</v>
      </c>
    </row>
    <row r="704" spans="1:23" ht="25.5" hidden="1" x14ac:dyDescent="0.25">
      <c r="A704" s="489" t="s">
        <v>1846</v>
      </c>
      <c r="B704" s="499" t="s">
        <v>1847</v>
      </c>
      <c r="C704" s="491">
        <v>0</v>
      </c>
      <c r="D704" s="491">
        <v>0</v>
      </c>
      <c r="E704" s="492">
        <v>0</v>
      </c>
      <c r="F704" s="464">
        <v>0</v>
      </c>
      <c r="G704" s="493">
        <v>0</v>
      </c>
      <c r="W704" s="431">
        <v>8738</v>
      </c>
    </row>
    <row r="705" spans="1:23" ht="25.5" hidden="1" x14ac:dyDescent="0.25">
      <c r="A705" s="489" t="s">
        <v>1848</v>
      </c>
      <c r="B705" s="499" t="s">
        <v>1849</v>
      </c>
      <c r="C705" s="491">
        <v>0</v>
      </c>
      <c r="D705" s="491">
        <v>0</v>
      </c>
      <c r="E705" s="492">
        <v>0</v>
      </c>
      <c r="F705" s="464">
        <v>0</v>
      </c>
      <c r="G705" s="493">
        <v>0</v>
      </c>
      <c r="W705" s="431">
        <v>8739</v>
      </c>
    </row>
    <row r="706" spans="1:23" ht="25.5" hidden="1" x14ac:dyDescent="0.25">
      <c r="A706" s="489" t="s">
        <v>1850</v>
      </c>
      <c r="B706" s="499" t="s">
        <v>1851</v>
      </c>
      <c r="C706" s="491">
        <v>0</v>
      </c>
      <c r="D706" s="491">
        <v>0</v>
      </c>
      <c r="E706" s="492">
        <v>0</v>
      </c>
      <c r="F706" s="464">
        <v>0</v>
      </c>
      <c r="G706" s="493">
        <v>0</v>
      </c>
      <c r="W706" s="431">
        <v>8740</v>
      </c>
    </row>
    <row r="707" spans="1:23" ht="25.5" hidden="1" x14ac:dyDescent="0.25">
      <c r="A707" s="489" t="s">
        <v>1852</v>
      </c>
      <c r="B707" s="498" t="s">
        <v>1853</v>
      </c>
      <c r="C707" s="491">
        <v>0</v>
      </c>
      <c r="D707" s="491">
        <v>0</v>
      </c>
      <c r="E707" s="492">
        <v>0</v>
      </c>
      <c r="F707" s="464">
        <v>0</v>
      </c>
      <c r="G707" s="493">
        <v>0</v>
      </c>
      <c r="W707" s="431">
        <v>8741</v>
      </c>
    </row>
    <row r="708" spans="1:23" s="469" customFormat="1" hidden="1" x14ac:dyDescent="0.25">
      <c r="A708" s="483" t="s">
        <v>316</v>
      </c>
      <c r="B708" s="495" t="s">
        <v>1854</v>
      </c>
      <c r="C708" s="488">
        <v>0</v>
      </c>
      <c r="D708" s="488">
        <v>0</v>
      </c>
      <c r="E708" s="485">
        <v>0</v>
      </c>
      <c r="F708" s="457">
        <v>0</v>
      </c>
      <c r="G708" s="493">
        <v>0</v>
      </c>
      <c r="W708" s="469">
        <v>8742</v>
      </c>
    </row>
    <row r="709" spans="1:23" hidden="1" x14ac:dyDescent="0.25">
      <c r="A709" s="489" t="s">
        <v>1855</v>
      </c>
      <c r="B709" s="496" t="s">
        <v>1856</v>
      </c>
      <c r="C709" s="491">
        <v>0</v>
      </c>
      <c r="D709" s="491">
        <v>0</v>
      </c>
      <c r="E709" s="492">
        <v>0</v>
      </c>
      <c r="F709" s="464">
        <v>0</v>
      </c>
      <c r="G709" s="493">
        <v>0</v>
      </c>
      <c r="W709" s="431">
        <v>8743</v>
      </c>
    </row>
    <row r="710" spans="1:23" hidden="1" x14ac:dyDescent="0.25">
      <c r="A710" s="489" t="s">
        <v>1857</v>
      </c>
      <c r="B710" s="497" t="s">
        <v>1858</v>
      </c>
      <c r="C710" s="491">
        <v>0</v>
      </c>
      <c r="D710" s="491">
        <v>0</v>
      </c>
      <c r="E710" s="492">
        <v>0</v>
      </c>
      <c r="F710" s="464">
        <v>0</v>
      </c>
      <c r="G710" s="493">
        <v>0</v>
      </c>
      <c r="W710" s="431">
        <v>8744</v>
      </c>
    </row>
    <row r="711" spans="1:23" ht="38.25" hidden="1" x14ac:dyDescent="0.25">
      <c r="A711" s="489" t="s">
        <v>1859</v>
      </c>
      <c r="B711" s="498" t="s">
        <v>1860</v>
      </c>
      <c r="C711" s="491">
        <v>0</v>
      </c>
      <c r="D711" s="491">
        <v>0</v>
      </c>
      <c r="E711" s="492">
        <v>0</v>
      </c>
      <c r="F711" s="464">
        <v>0</v>
      </c>
      <c r="G711" s="493">
        <v>0</v>
      </c>
      <c r="W711" s="431">
        <v>8745</v>
      </c>
    </row>
    <row r="712" spans="1:23" ht="38.25" hidden="1" x14ac:dyDescent="0.25">
      <c r="A712" s="489" t="s">
        <v>1861</v>
      </c>
      <c r="B712" s="499" t="s">
        <v>1862</v>
      </c>
      <c r="C712" s="491">
        <v>0</v>
      </c>
      <c r="D712" s="491">
        <v>0</v>
      </c>
      <c r="E712" s="492">
        <v>0</v>
      </c>
      <c r="F712" s="464">
        <v>0</v>
      </c>
      <c r="G712" s="493">
        <v>0</v>
      </c>
      <c r="W712" s="431">
        <v>8746</v>
      </c>
    </row>
    <row r="713" spans="1:23" ht="38.25" hidden="1" x14ac:dyDescent="0.25">
      <c r="A713" s="489" t="s">
        <v>1863</v>
      </c>
      <c r="B713" s="499" t="s">
        <v>1864</v>
      </c>
      <c r="C713" s="491">
        <v>0</v>
      </c>
      <c r="D713" s="491">
        <v>0</v>
      </c>
      <c r="E713" s="492">
        <v>0</v>
      </c>
      <c r="F713" s="464">
        <v>0</v>
      </c>
      <c r="G713" s="493">
        <v>0</v>
      </c>
      <c r="W713" s="431">
        <v>8747</v>
      </c>
    </row>
    <row r="714" spans="1:23" hidden="1" x14ac:dyDescent="0.25">
      <c r="A714" s="489" t="s">
        <v>1865</v>
      </c>
      <c r="B714" s="498" t="s">
        <v>1866</v>
      </c>
      <c r="C714" s="491">
        <v>0</v>
      </c>
      <c r="D714" s="491">
        <v>0</v>
      </c>
      <c r="E714" s="492">
        <v>0</v>
      </c>
      <c r="F714" s="464">
        <v>0</v>
      </c>
      <c r="G714" s="493">
        <v>0</v>
      </c>
      <c r="W714" s="431">
        <v>8748</v>
      </c>
    </row>
    <row r="715" spans="1:23" ht="25.5" hidden="1" x14ac:dyDescent="0.25">
      <c r="A715" s="489" t="s">
        <v>1867</v>
      </c>
      <c r="B715" s="498" t="s">
        <v>1868</v>
      </c>
      <c r="C715" s="491">
        <v>0</v>
      </c>
      <c r="D715" s="491">
        <v>0</v>
      </c>
      <c r="E715" s="492">
        <v>0</v>
      </c>
      <c r="F715" s="464">
        <v>0</v>
      </c>
      <c r="G715" s="493">
        <v>0</v>
      </c>
      <c r="W715" s="431">
        <v>8749</v>
      </c>
    </row>
    <row r="716" spans="1:23" hidden="1" x14ac:dyDescent="0.25">
      <c r="A716" s="489" t="s">
        <v>1869</v>
      </c>
      <c r="B716" s="499" t="s">
        <v>1870</v>
      </c>
      <c r="C716" s="491">
        <v>0</v>
      </c>
      <c r="D716" s="491">
        <v>0</v>
      </c>
      <c r="E716" s="492">
        <v>0</v>
      </c>
      <c r="F716" s="464">
        <v>0</v>
      </c>
      <c r="G716" s="493">
        <v>0</v>
      </c>
      <c r="W716" s="431">
        <v>8750</v>
      </c>
    </row>
    <row r="717" spans="1:23" hidden="1" x14ac:dyDescent="0.25">
      <c r="A717" s="489" t="s">
        <v>1871</v>
      </c>
      <c r="B717" s="499" t="s">
        <v>1872</v>
      </c>
      <c r="C717" s="491">
        <v>0</v>
      </c>
      <c r="D717" s="491">
        <v>0</v>
      </c>
      <c r="E717" s="492">
        <v>0</v>
      </c>
      <c r="F717" s="464">
        <v>0</v>
      </c>
      <c r="G717" s="493">
        <v>0</v>
      </c>
      <c r="W717" s="431">
        <v>8751</v>
      </c>
    </row>
    <row r="718" spans="1:23" ht="25.5" hidden="1" x14ac:dyDescent="0.25">
      <c r="A718" s="489" t="s">
        <v>1873</v>
      </c>
      <c r="B718" s="497" t="s">
        <v>1874</v>
      </c>
      <c r="C718" s="491">
        <v>0</v>
      </c>
      <c r="D718" s="491">
        <v>0</v>
      </c>
      <c r="E718" s="492">
        <v>0</v>
      </c>
      <c r="F718" s="464">
        <v>0</v>
      </c>
      <c r="G718" s="493">
        <v>0</v>
      </c>
      <c r="W718" s="431">
        <v>8752</v>
      </c>
    </row>
    <row r="719" spans="1:23" ht="25.5" hidden="1" x14ac:dyDescent="0.25">
      <c r="A719" s="489" t="s">
        <v>1875</v>
      </c>
      <c r="B719" s="498" t="s">
        <v>1876</v>
      </c>
      <c r="C719" s="491">
        <v>0</v>
      </c>
      <c r="D719" s="491">
        <v>0</v>
      </c>
      <c r="E719" s="492">
        <v>0</v>
      </c>
      <c r="F719" s="464">
        <v>0</v>
      </c>
      <c r="G719" s="493">
        <v>0</v>
      </c>
      <c r="W719" s="431">
        <v>8753</v>
      </c>
    </row>
    <row r="720" spans="1:23" ht="25.5" hidden="1" x14ac:dyDescent="0.25">
      <c r="A720" s="489" t="s">
        <v>1877</v>
      </c>
      <c r="B720" s="499" t="s">
        <v>1878</v>
      </c>
      <c r="C720" s="491">
        <v>0</v>
      </c>
      <c r="D720" s="491">
        <v>0</v>
      </c>
      <c r="E720" s="492">
        <v>0</v>
      </c>
      <c r="F720" s="464">
        <v>0</v>
      </c>
      <c r="G720" s="493">
        <v>0</v>
      </c>
      <c r="W720" s="431">
        <v>8754</v>
      </c>
    </row>
    <row r="721" spans="1:23" ht="25.5" hidden="1" x14ac:dyDescent="0.25">
      <c r="A721" s="489" t="s">
        <v>1879</v>
      </c>
      <c r="B721" s="499" t="s">
        <v>1880</v>
      </c>
      <c r="C721" s="491">
        <v>0</v>
      </c>
      <c r="D721" s="491">
        <v>0</v>
      </c>
      <c r="E721" s="492">
        <v>0</v>
      </c>
      <c r="F721" s="464">
        <v>0</v>
      </c>
      <c r="G721" s="493">
        <v>0</v>
      </c>
      <c r="W721" s="431">
        <v>8755</v>
      </c>
    </row>
    <row r="722" spans="1:23" hidden="1" x14ac:dyDescent="0.25">
      <c r="A722" s="489" t="s">
        <v>1881</v>
      </c>
      <c r="B722" s="498" t="s">
        <v>1882</v>
      </c>
      <c r="C722" s="491">
        <v>0</v>
      </c>
      <c r="D722" s="491">
        <v>0</v>
      </c>
      <c r="E722" s="492">
        <v>0</v>
      </c>
      <c r="F722" s="464">
        <v>0</v>
      </c>
      <c r="G722" s="493">
        <v>0</v>
      </c>
      <c r="W722" s="431">
        <v>8756</v>
      </c>
    </row>
    <row r="723" spans="1:23" hidden="1" x14ac:dyDescent="0.25">
      <c r="A723" s="489" t="s">
        <v>1883</v>
      </c>
      <c r="B723" s="499" t="s">
        <v>1884</v>
      </c>
      <c r="C723" s="491">
        <v>0</v>
      </c>
      <c r="D723" s="491">
        <v>0</v>
      </c>
      <c r="E723" s="492">
        <v>0</v>
      </c>
      <c r="F723" s="464">
        <v>0</v>
      </c>
      <c r="G723" s="493">
        <v>0</v>
      </c>
      <c r="W723" s="431">
        <v>8757</v>
      </c>
    </row>
    <row r="724" spans="1:23" ht="25.5" hidden="1" x14ac:dyDescent="0.25">
      <c r="A724" s="489" t="s">
        <v>1885</v>
      </c>
      <c r="B724" s="499" t="s">
        <v>1886</v>
      </c>
      <c r="C724" s="491">
        <v>0</v>
      </c>
      <c r="D724" s="491">
        <v>0</v>
      </c>
      <c r="E724" s="492">
        <v>0</v>
      </c>
      <c r="F724" s="464">
        <v>0</v>
      </c>
      <c r="G724" s="493">
        <v>0</v>
      </c>
      <c r="W724" s="431">
        <v>8758</v>
      </c>
    </row>
    <row r="725" spans="1:23" ht="25.5" hidden="1" x14ac:dyDescent="0.25">
      <c r="A725" s="489" t="s">
        <v>1887</v>
      </c>
      <c r="B725" s="498" t="s">
        <v>1888</v>
      </c>
      <c r="C725" s="491">
        <v>0</v>
      </c>
      <c r="D725" s="491">
        <v>0</v>
      </c>
      <c r="E725" s="492">
        <v>0</v>
      </c>
      <c r="F725" s="464">
        <v>0</v>
      </c>
      <c r="G725" s="493">
        <v>0</v>
      </c>
      <c r="W725" s="431">
        <v>8759</v>
      </c>
    </row>
    <row r="726" spans="1:23" ht="25.5" hidden="1" x14ac:dyDescent="0.25">
      <c r="A726" s="489" t="s">
        <v>1889</v>
      </c>
      <c r="B726" s="499" t="s">
        <v>1890</v>
      </c>
      <c r="C726" s="491">
        <v>0</v>
      </c>
      <c r="D726" s="491">
        <v>0</v>
      </c>
      <c r="E726" s="492">
        <v>0</v>
      </c>
      <c r="F726" s="464">
        <v>0</v>
      </c>
      <c r="G726" s="493">
        <v>0</v>
      </c>
      <c r="W726" s="431">
        <v>8760</v>
      </c>
    </row>
    <row r="727" spans="1:23" ht="38.25" hidden="1" x14ac:dyDescent="0.25">
      <c r="A727" s="489" t="s">
        <v>1891</v>
      </c>
      <c r="B727" s="499" t="s">
        <v>1892</v>
      </c>
      <c r="C727" s="491">
        <v>0</v>
      </c>
      <c r="D727" s="491">
        <v>0</v>
      </c>
      <c r="E727" s="492">
        <v>0</v>
      </c>
      <c r="F727" s="464">
        <v>0</v>
      </c>
      <c r="G727" s="493">
        <v>0</v>
      </c>
      <c r="W727" s="431">
        <v>8761</v>
      </c>
    </row>
    <row r="728" spans="1:23" ht="25.5" hidden="1" x14ac:dyDescent="0.25">
      <c r="A728" s="489" t="s">
        <v>1893</v>
      </c>
      <c r="B728" s="499" t="s">
        <v>1894</v>
      </c>
      <c r="C728" s="491">
        <v>0</v>
      </c>
      <c r="D728" s="491">
        <v>0</v>
      </c>
      <c r="E728" s="492">
        <v>0</v>
      </c>
      <c r="F728" s="464">
        <v>0</v>
      </c>
      <c r="G728" s="493">
        <v>0</v>
      </c>
      <c r="W728" s="431">
        <v>8762</v>
      </c>
    </row>
    <row r="729" spans="1:23" ht="25.5" hidden="1" x14ac:dyDescent="0.25">
      <c r="A729" s="489" t="s">
        <v>1895</v>
      </c>
      <c r="B729" s="499" t="s">
        <v>1896</v>
      </c>
      <c r="C729" s="491">
        <v>0</v>
      </c>
      <c r="D729" s="491">
        <v>0</v>
      </c>
      <c r="E729" s="492">
        <v>0</v>
      </c>
      <c r="F729" s="464">
        <v>0</v>
      </c>
      <c r="G729" s="493">
        <v>0</v>
      </c>
      <c r="W729" s="431">
        <v>8763</v>
      </c>
    </row>
    <row r="730" spans="1:23" hidden="1" x14ac:dyDescent="0.25">
      <c r="A730" s="489" t="s">
        <v>1897</v>
      </c>
      <c r="B730" s="498" t="s">
        <v>1898</v>
      </c>
      <c r="C730" s="491">
        <v>0</v>
      </c>
      <c r="D730" s="491">
        <v>0</v>
      </c>
      <c r="E730" s="492">
        <v>0</v>
      </c>
      <c r="F730" s="464">
        <v>0</v>
      </c>
      <c r="G730" s="493">
        <v>0</v>
      </c>
      <c r="W730" s="431">
        <v>8764</v>
      </c>
    </row>
    <row r="731" spans="1:23" hidden="1" x14ac:dyDescent="0.25">
      <c r="A731" s="489" t="s">
        <v>1899</v>
      </c>
      <c r="B731" s="499" t="s">
        <v>1900</v>
      </c>
      <c r="C731" s="491">
        <v>0</v>
      </c>
      <c r="D731" s="491">
        <v>0</v>
      </c>
      <c r="E731" s="492">
        <v>0</v>
      </c>
      <c r="F731" s="464">
        <v>0</v>
      </c>
      <c r="G731" s="493">
        <v>0</v>
      </c>
      <c r="W731" s="431">
        <v>8765</v>
      </c>
    </row>
    <row r="732" spans="1:23" hidden="1" x14ac:dyDescent="0.25">
      <c r="A732" s="489" t="s">
        <v>1901</v>
      </c>
      <c r="B732" s="499" t="s">
        <v>1902</v>
      </c>
      <c r="C732" s="491">
        <v>0</v>
      </c>
      <c r="D732" s="491">
        <v>0</v>
      </c>
      <c r="E732" s="492">
        <v>0</v>
      </c>
      <c r="F732" s="464">
        <v>0</v>
      </c>
      <c r="G732" s="493">
        <v>0</v>
      </c>
      <c r="W732" s="431">
        <v>8766</v>
      </c>
    </row>
    <row r="733" spans="1:23" ht="63.75" hidden="1" x14ac:dyDescent="0.25">
      <c r="A733" s="489" t="s">
        <v>1903</v>
      </c>
      <c r="B733" s="498" t="s">
        <v>1904</v>
      </c>
      <c r="C733" s="491">
        <v>0</v>
      </c>
      <c r="D733" s="491">
        <v>0</v>
      </c>
      <c r="E733" s="492">
        <v>0</v>
      </c>
      <c r="F733" s="464">
        <v>0</v>
      </c>
      <c r="G733" s="493">
        <v>0</v>
      </c>
      <c r="W733" s="431">
        <v>8767</v>
      </c>
    </row>
    <row r="734" spans="1:23" ht="51" hidden="1" x14ac:dyDescent="0.25">
      <c r="A734" s="489" t="s">
        <v>1905</v>
      </c>
      <c r="B734" s="499" t="s">
        <v>1906</v>
      </c>
      <c r="C734" s="491">
        <v>0</v>
      </c>
      <c r="D734" s="491">
        <v>0</v>
      </c>
      <c r="E734" s="492">
        <v>0</v>
      </c>
      <c r="F734" s="464">
        <v>0</v>
      </c>
      <c r="G734" s="493">
        <v>0</v>
      </c>
      <c r="W734" s="431">
        <v>8768</v>
      </c>
    </row>
    <row r="735" spans="1:23" ht="63.75" hidden="1" x14ac:dyDescent="0.25">
      <c r="A735" s="489" t="s">
        <v>1907</v>
      </c>
      <c r="B735" s="499" t="s">
        <v>1908</v>
      </c>
      <c r="C735" s="491">
        <v>0</v>
      </c>
      <c r="D735" s="491">
        <v>0</v>
      </c>
      <c r="E735" s="492">
        <v>0</v>
      </c>
      <c r="F735" s="464">
        <v>0</v>
      </c>
      <c r="G735" s="493">
        <v>0</v>
      </c>
      <c r="W735" s="431">
        <v>8769</v>
      </c>
    </row>
    <row r="736" spans="1:23" ht="51" hidden="1" x14ac:dyDescent="0.25">
      <c r="A736" s="489" t="s">
        <v>1909</v>
      </c>
      <c r="B736" s="499" t="s">
        <v>1910</v>
      </c>
      <c r="C736" s="491">
        <v>0</v>
      </c>
      <c r="D736" s="491">
        <v>0</v>
      </c>
      <c r="E736" s="492">
        <v>0</v>
      </c>
      <c r="F736" s="464">
        <v>0</v>
      </c>
      <c r="G736" s="493">
        <v>0</v>
      </c>
      <c r="W736" s="431">
        <v>8770</v>
      </c>
    </row>
    <row r="737" spans="1:23" ht="38.25" hidden="1" x14ac:dyDescent="0.25">
      <c r="A737" s="489" t="s">
        <v>1911</v>
      </c>
      <c r="B737" s="499" t="s">
        <v>1912</v>
      </c>
      <c r="C737" s="491">
        <v>0</v>
      </c>
      <c r="D737" s="491">
        <v>0</v>
      </c>
      <c r="E737" s="492">
        <v>0</v>
      </c>
      <c r="F737" s="464">
        <v>0</v>
      </c>
      <c r="G737" s="493">
        <v>0</v>
      </c>
      <c r="W737" s="431">
        <v>8771</v>
      </c>
    </row>
    <row r="738" spans="1:23" ht="38.25" hidden="1" x14ac:dyDescent="0.25">
      <c r="A738" s="489" t="s">
        <v>1913</v>
      </c>
      <c r="B738" s="499" t="s">
        <v>1914</v>
      </c>
      <c r="C738" s="491">
        <v>0</v>
      </c>
      <c r="D738" s="491">
        <v>0</v>
      </c>
      <c r="E738" s="492">
        <v>0</v>
      </c>
      <c r="F738" s="464">
        <v>0</v>
      </c>
      <c r="G738" s="493">
        <v>0</v>
      </c>
      <c r="W738" s="431">
        <v>8772</v>
      </c>
    </row>
    <row r="739" spans="1:23" ht="38.25" hidden="1" x14ac:dyDescent="0.25">
      <c r="A739" s="489" t="s">
        <v>1915</v>
      </c>
      <c r="B739" s="497" t="s">
        <v>1916</v>
      </c>
      <c r="C739" s="491">
        <v>0</v>
      </c>
      <c r="D739" s="491">
        <v>0</v>
      </c>
      <c r="E739" s="492">
        <v>0</v>
      </c>
      <c r="F739" s="464">
        <v>0</v>
      </c>
      <c r="G739" s="493">
        <v>0</v>
      </c>
      <c r="W739" s="431">
        <v>8773</v>
      </c>
    </row>
    <row r="740" spans="1:23" ht="38.25" hidden="1" x14ac:dyDescent="0.25">
      <c r="A740" s="489" t="s">
        <v>1917</v>
      </c>
      <c r="B740" s="498" t="s">
        <v>1918</v>
      </c>
      <c r="C740" s="491">
        <v>0</v>
      </c>
      <c r="D740" s="491">
        <v>0</v>
      </c>
      <c r="E740" s="492">
        <v>0</v>
      </c>
      <c r="F740" s="464">
        <v>0</v>
      </c>
      <c r="G740" s="493">
        <v>0</v>
      </c>
      <c r="W740" s="431">
        <v>8774</v>
      </c>
    </row>
    <row r="741" spans="1:23" ht="38.25" hidden="1" x14ac:dyDescent="0.25">
      <c r="A741" s="489" t="s">
        <v>1919</v>
      </c>
      <c r="B741" s="498" t="s">
        <v>1920</v>
      </c>
      <c r="C741" s="491">
        <v>0</v>
      </c>
      <c r="D741" s="491">
        <v>0</v>
      </c>
      <c r="E741" s="492">
        <v>0</v>
      </c>
      <c r="F741" s="464">
        <v>0</v>
      </c>
      <c r="G741" s="493">
        <v>0</v>
      </c>
      <c r="W741" s="431">
        <v>8775</v>
      </c>
    </row>
    <row r="742" spans="1:23" ht="63.75" hidden="1" x14ac:dyDescent="0.25">
      <c r="A742" s="489" t="s">
        <v>1921</v>
      </c>
      <c r="B742" s="497" t="s">
        <v>1922</v>
      </c>
      <c r="C742" s="491">
        <v>0</v>
      </c>
      <c r="D742" s="491">
        <v>0</v>
      </c>
      <c r="E742" s="492">
        <v>0</v>
      </c>
      <c r="F742" s="464">
        <v>0</v>
      </c>
      <c r="G742" s="493">
        <v>0</v>
      </c>
      <c r="W742" s="431">
        <v>8776</v>
      </c>
    </row>
    <row r="743" spans="1:23" ht="25.5" hidden="1" x14ac:dyDescent="0.25">
      <c r="A743" s="489" t="s">
        <v>1923</v>
      </c>
      <c r="B743" s="497" t="s">
        <v>1924</v>
      </c>
      <c r="C743" s="491">
        <v>0</v>
      </c>
      <c r="D743" s="491">
        <v>0</v>
      </c>
      <c r="E743" s="492">
        <v>0</v>
      </c>
      <c r="F743" s="464">
        <v>0</v>
      </c>
      <c r="G743" s="493">
        <v>0</v>
      </c>
      <c r="W743" s="431">
        <v>8777</v>
      </c>
    </row>
    <row r="744" spans="1:23" hidden="1" x14ac:dyDescent="0.25">
      <c r="A744" s="489" t="s">
        <v>1925</v>
      </c>
      <c r="B744" s="496" t="s">
        <v>1926</v>
      </c>
      <c r="C744" s="491">
        <v>0</v>
      </c>
      <c r="D744" s="491">
        <v>0</v>
      </c>
      <c r="E744" s="492">
        <v>0</v>
      </c>
      <c r="F744" s="464">
        <v>0</v>
      </c>
      <c r="G744" s="493">
        <v>0</v>
      </c>
      <c r="W744" s="431">
        <v>8778</v>
      </c>
    </row>
    <row r="745" spans="1:23" hidden="1" x14ac:dyDescent="0.25">
      <c r="A745" s="489" t="s">
        <v>1927</v>
      </c>
      <c r="B745" s="497" t="s">
        <v>1928</v>
      </c>
      <c r="C745" s="491">
        <v>0</v>
      </c>
      <c r="D745" s="491">
        <v>0</v>
      </c>
      <c r="E745" s="492">
        <v>0</v>
      </c>
      <c r="F745" s="464">
        <v>0</v>
      </c>
      <c r="G745" s="493">
        <v>0</v>
      </c>
      <c r="W745" s="431">
        <v>8779</v>
      </c>
    </row>
    <row r="746" spans="1:23" hidden="1" x14ac:dyDescent="0.25">
      <c r="A746" s="489" t="s">
        <v>1929</v>
      </c>
      <c r="B746" s="498" t="s">
        <v>1930</v>
      </c>
      <c r="C746" s="491">
        <v>0</v>
      </c>
      <c r="D746" s="491">
        <v>0</v>
      </c>
      <c r="E746" s="492">
        <v>0</v>
      </c>
      <c r="F746" s="464">
        <v>0</v>
      </c>
      <c r="G746" s="493">
        <v>0</v>
      </c>
      <c r="W746" s="431">
        <v>8780</v>
      </c>
    </row>
    <row r="747" spans="1:23" hidden="1" x14ac:dyDescent="0.25">
      <c r="A747" s="489" t="s">
        <v>1931</v>
      </c>
      <c r="B747" s="499" t="s">
        <v>1932</v>
      </c>
      <c r="C747" s="491">
        <v>0</v>
      </c>
      <c r="D747" s="491">
        <v>0</v>
      </c>
      <c r="E747" s="492">
        <v>0</v>
      </c>
      <c r="F747" s="464">
        <v>0</v>
      </c>
      <c r="G747" s="493">
        <v>0</v>
      </c>
      <c r="W747" s="431">
        <v>8781</v>
      </c>
    </row>
    <row r="748" spans="1:23" hidden="1" x14ac:dyDescent="0.25">
      <c r="A748" s="489" t="s">
        <v>1933</v>
      </c>
      <c r="B748" s="499" t="s">
        <v>1934</v>
      </c>
      <c r="C748" s="491">
        <v>0</v>
      </c>
      <c r="D748" s="491">
        <v>0</v>
      </c>
      <c r="E748" s="492">
        <v>0</v>
      </c>
      <c r="F748" s="464">
        <v>0</v>
      </c>
      <c r="G748" s="493">
        <v>0</v>
      </c>
      <c r="W748" s="431">
        <v>8782</v>
      </c>
    </row>
    <row r="749" spans="1:23" hidden="1" x14ac:dyDescent="0.25">
      <c r="A749" s="489" t="s">
        <v>1935</v>
      </c>
      <c r="B749" s="499" t="s">
        <v>1936</v>
      </c>
      <c r="C749" s="491">
        <v>0</v>
      </c>
      <c r="D749" s="491">
        <v>0</v>
      </c>
      <c r="E749" s="492">
        <v>0</v>
      </c>
      <c r="F749" s="464">
        <v>0</v>
      </c>
      <c r="G749" s="493">
        <v>0</v>
      </c>
      <c r="W749" s="431">
        <v>8783</v>
      </c>
    </row>
    <row r="750" spans="1:23" hidden="1" x14ac:dyDescent="0.25">
      <c r="A750" s="489" t="s">
        <v>1937</v>
      </c>
      <c r="B750" s="499" t="s">
        <v>1938</v>
      </c>
      <c r="C750" s="491">
        <v>0</v>
      </c>
      <c r="D750" s="491">
        <v>0</v>
      </c>
      <c r="E750" s="492">
        <v>0</v>
      </c>
      <c r="F750" s="464">
        <v>0</v>
      </c>
      <c r="G750" s="493">
        <v>0</v>
      </c>
      <c r="W750" s="431">
        <v>8784</v>
      </c>
    </row>
    <row r="751" spans="1:23" hidden="1" x14ac:dyDescent="0.25">
      <c r="A751" s="489" t="s">
        <v>1939</v>
      </c>
      <c r="B751" s="499" t="s">
        <v>1940</v>
      </c>
      <c r="C751" s="491">
        <v>0</v>
      </c>
      <c r="D751" s="491">
        <v>0</v>
      </c>
      <c r="E751" s="492">
        <v>0</v>
      </c>
      <c r="F751" s="464">
        <v>0</v>
      </c>
      <c r="G751" s="493">
        <v>0</v>
      </c>
      <c r="W751" s="431">
        <v>8785</v>
      </c>
    </row>
    <row r="752" spans="1:23" hidden="1" x14ac:dyDescent="0.25">
      <c r="A752" s="489" t="s">
        <v>1941</v>
      </c>
      <c r="B752" s="499" t="s">
        <v>1942</v>
      </c>
      <c r="C752" s="491">
        <v>0</v>
      </c>
      <c r="D752" s="491">
        <v>0</v>
      </c>
      <c r="E752" s="492">
        <v>0</v>
      </c>
      <c r="F752" s="464">
        <v>0</v>
      </c>
      <c r="G752" s="493">
        <v>0</v>
      </c>
      <c r="W752" s="431">
        <v>8786</v>
      </c>
    </row>
    <row r="753" spans="1:23" hidden="1" x14ac:dyDescent="0.25">
      <c r="A753" s="489" t="s">
        <v>1943</v>
      </c>
      <c r="B753" s="498" t="s">
        <v>1944</v>
      </c>
      <c r="C753" s="491">
        <v>0</v>
      </c>
      <c r="D753" s="491">
        <v>0</v>
      </c>
      <c r="E753" s="492">
        <v>0</v>
      </c>
      <c r="F753" s="464">
        <v>0</v>
      </c>
      <c r="G753" s="493">
        <v>0</v>
      </c>
      <c r="W753" s="431">
        <v>8787</v>
      </c>
    </row>
    <row r="754" spans="1:23" hidden="1" x14ac:dyDescent="0.25">
      <c r="A754" s="489" t="s">
        <v>1945</v>
      </c>
      <c r="B754" s="499" t="s">
        <v>1946</v>
      </c>
      <c r="C754" s="491">
        <v>0</v>
      </c>
      <c r="D754" s="491">
        <v>0</v>
      </c>
      <c r="E754" s="492">
        <v>0</v>
      </c>
      <c r="F754" s="464">
        <v>0</v>
      </c>
      <c r="G754" s="493">
        <v>0</v>
      </c>
      <c r="W754" s="431">
        <v>8788</v>
      </c>
    </row>
    <row r="755" spans="1:23" hidden="1" x14ac:dyDescent="0.25">
      <c r="A755" s="489" t="s">
        <v>1947</v>
      </c>
      <c r="B755" s="499" t="s">
        <v>1948</v>
      </c>
      <c r="C755" s="491">
        <v>0</v>
      </c>
      <c r="D755" s="491">
        <v>0</v>
      </c>
      <c r="E755" s="492">
        <v>0</v>
      </c>
      <c r="F755" s="464">
        <v>0</v>
      </c>
      <c r="G755" s="493">
        <v>0</v>
      </c>
      <c r="W755" s="431">
        <v>8789</v>
      </c>
    </row>
    <row r="756" spans="1:23" hidden="1" x14ac:dyDescent="0.25">
      <c r="A756" s="489" t="s">
        <v>1949</v>
      </c>
      <c r="B756" s="499" t="s">
        <v>1950</v>
      </c>
      <c r="C756" s="491">
        <v>0</v>
      </c>
      <c r="D756" s="491">
        <v>0</v>
      </c>
      <c r="E756" s="492">
        <v>0</v>
      </c>
      <c r="F756" s="464">
        <v>0</v>
      </c>
      <c r="G756" s="493">
        <v>0</v>
      </c>
      <c r="W756" s="431">
        <v>8790</v>
      </c>
    </row>
    <row r="757" spans="1:23" hidden="1" x14ac:dyDescent="0.25">
      <c r="A757" s="489" t="s">
        <v>1951</v>
      </c>
      <c r="B757" s="499" t="s">
        <v>1952</v>
      </c>
      <c r="C757" s="491">
        <v>0</v>
      </c>
      <c r="D757" s="491">
        <v>0</v>
      </c>
      <c r="E757" s="492">
        <v>0</v>
      </c>
      <c r="F757" s="464">
        <v>0</v>
      </c>
      <c r="G757" s="493">
        <v>0</v>
      </c>
      <c r="W757" s="431">
        <v>8791</v>
      </c>
    </row>
    <row r="758" spans="1:23" hidden="1" x14ac:dyDescent="0.25">
      <c r="A758" s="489" t="s">
        <v>1953</v>
      </c>
      <c r="B758" s="499" t="s">
        <v>1954</v>
      </c>
      <c r="C758" s="491">
        <v>0</v>
      </c>
      <c r="D758" s="491">
        <v>0</v>
      </c>
      <c r="E758" s="492">
        <v>0</v>
      </c>
      <c r="F758" s="464">
        <v>0</v>
      </c>
      <c r="G758" s="493">
        <v>0</v>
      </c>
      <c r="W758" s="431">
        <v>8792</v>
      </c>
    </row>
    <row r="759" spans="1:23" ht="25.5" hidden="1" x14ac:dyDescent="0.25">
      <c r="A759" s="489" t="s">
        <v>1955</v>
      </c>
      <c r="B759" s="499" t="s">
        <v>1956</v>
      </c>
      <c r="C759" s="491">
        <v>0</v>
      </c>
      <c r="D759" s="491">
        <v>0</v>
      </c>
      <c r="E759" s="492">
        <v>0</v>
      </c>
      <c r="F759" s="464">
        <v>0</v>
      </c>
      <c r="G759" s="493">
        <v>0</v>
      </c>
      <c r="W759" s="431">
        <v>8793</v>
      </c>
    </row>
    <row r="760" spans="1:23" hidden="1" x14ac:dyDescent="0.25">
      <c r="A760" s="489" t="s">
        <v>1957</v>
      </c>
      <c r="B760" s="499" t="s">
        <v>1958</v>
      </c>
      <c r="C760" s="491">
        <v>0</v>
      </c>
      <c r="D760" s="491">
        <v>0</v>
      </c>
      <c r="E760" s="492">
        <v>0</v>
      </c>
      <c r="F760" s="464">
        <v>0</v>
      </c>
      <c r="G760" s="493">
        <v>0</v>
      </c>
      <c r="W760" s="431">
        <v>8794</v>
      </c>
    </row>
    <row r="761" spans="1:23" hidden="1" x14ac:dyDescent="0.25">
      <c r="A761" s="489" t="s">
        <v>1959</v>
      </c>
      <c r="B761" s="499" t="s">
        <v>1960</v>
      </c>
      <c r="C761" s="491">
        <v>0</v>
      </c>
      <c r="D761" s="491">
        <v>0</v>
      </c>
      <c r="E761" s="492">
        <v>0</v>
      </c>
      <c r="F761" s="464">
        <v>0</v>
      </c>
      <c r="G761" s="493">
        <v>0</v>
      </c>
      <c r="W761" s="431">
        <v>8795</v>
      </c>
    </row>
    <row r="762" spans="1:23" hidden="1" x14ac:dyDescent="0.25">
      <c r="A762" s="489" t="s">
        <v>1961</v>
      </c>
      <c r="B762" s="499" t="s">
        <v>1962</v>
      </c>
      <c r="C762" s="491">
        <v>0</v>
      </c>
      <c r="D762" s="491">
        <v>0</v>
      </c>
      <c r="E762" s="492">
        <v>0</v>
      </c>
      <c r="F762" s="464">
        <v>0</v>
      </c>
      <c r="G762" s="493">
        <v>0</v>
      </c>
      <c r="W762" s="431">
        <v>8796</v>
      </c>
    </row>
    <row r="763" spans="1:23" hidden="1" x14ac:dyDescent="0.25">
      <c r="A763" s="489" t="s">
        <v>1963</v>
      </c>
      <c r="B763" s="498" t="s">
        <v>1964</v>
      </c>
      <c r="C763" s="491">
        <v>0</v>
      </c>
      <c r="D763" s="491">
        <v>0</v>
      </c>
      <c r="E763" s="492">
        <v>0</v>
      </c>
      <c r="F763" s="464">
        <v>0</v>
      </c>
      <c r="G763" s="493">
        <v>0</v>
      </c>
      <c r="W763" s="431">
        <v>8797</v>
      </c>
    </row>
    <row r="764" spans="1:23" hidden="1" x14ac:dyDescent="0.25">
      <c r="A764" s="489" t="s">
        <v>1965</v>
      </c>
      <c r="B764" s="499" t="s">
        <v>1966</v>
      </c>
      <c r="C764" s="491">
        <v>0</v>
      </c>
      <c r="D764" s="491">
        <v>0</v>
      </c>
      <c r="E764" s="492">
        <v>0</v>
      </c>
      <c r="F764" s="464">
        <v>0</v>
      </c>
      <c r="G764" s="493">
        <v>0</v>
      </c>
      <c r="W764" s="431">
        <v>8798</v>
      </c>
    </row>
    <row r="765" spans="1:23" hidden="1" x14ac:dyDescent="0.25">
      <c r="A765" s="489" t="s">
        <v>1967</v>
      </c>
      <c r="B765" s="499" t="s">
        <v>1968</v>
      </c>
      <c r="C765" s="491">
        <v>0</v>
      </c>
      <c r="D765" s="491">
        <v>0</v>
      </c>
      <c r="E765" s="492">
        <v>0</v>
      </c>
      <c r="F765" s="464">
        <v>0</v>
      </c>
      <c r="G765" s="493">
        <v>0</v>
      </c>
      <c r="W765" s="431">
        <v>8799</v>
      </c>
    </row>
    <row r="766" spans="1:23" ht="25.5" hidden="1" x14ac:dyDescent="0.25">
      <c r="A766" s="489" t="s">
        <v>1969</v>
      </c>
      <c r="B766" s="499" t="s">
        <v>1970</v>
      </c>
      <c r="C766" s="491">
        <v>0</v>
      </c>
      <c r="D766" s="491">
        <v>0</v>
      </c>
      <c r="E766" s="492">
        <v>0</v>
      </c>
      <c r="F766" s="464">
        <v>0</v>
      </c>
      <c r="G766" s="493">
        <v>0</v>
      </c>
      <c r="W766" s="431">
        <v>8800</v>
      </c>
    </row>
    <row r="767" spans="1:23" hidden="1" x14ac:dyDescent="0.25">
      <c r="A767" s="489" t="s">
        <v>1971</v>
      </c>
      <c r="B767" s="499" t="s">
        <v>1972</v>
      </c>
      <c r="C767" s="491">
        <v>0</v>
      </c>
      <c r="D767" s="491">
        <v>0</v>
      </c>
      <c r="E767" s="492">
        <v>0</v>
      </c>
      <c r="F767" s="464">
        <v>0</v>
      </c>
      <c r="G767" s="493">
        <v>0</v>
      </c>
      <c r="W767" s="431">
        <v>8801</v>
      </c>
    </row>
    <row r="768" spans="1:23" hidden="1" x14ac:dyDescent="0.25">
      <c r="A768" s="489" t="s">
        <v>1973</v>
      </c>
      <c r="B768" s="499" t="s">
        <v>1974</v>
      </c>
      <c r="C768" s="491">
        <v>0</v>
      </c>
      <c r="D768" s="491">
        <v>0</v>
      </c>
      <c r="E768" s="492">
        <v>0</v>
      </c>
      <c r="F768" s="464">
        <v>0</v>
      </c>
      <c r="G768" s="493">
        <v>0</v>
      </c>
      <c r="W768" s="431">
        <v>8802</v>
      </c>
    </row>
    <row r="769" spans="1:23" hidden="1" x14ac:dyDescent="0.25">
      <c r="A769" s="489" t="s">
        <v>1975</v>
      </c>
      <c r="B769" s="499" t="s">
        <v>1976</v>
      </c>
      <c r="C769" s="491">
        <v>0</v>
      </c>
      <c r="D769" s="491">
        <v>0</v>
      </c>
      <c r="E769" s="492">
        <v>0</v>
      </c>
      <c r="F769" s="464">
        <v>0</v>
      </c>
      <c r="G769" s="493">
        <v>0</v>
      </c>
      <c r="W769" s="431">
        <v>8803</v>
      </c>
    </row>
    <row r="770" spans="1:23" ht="25.5" hidden="1" x14ac:dyDescent="0.25">
      <c r="A770" s="489" t="s">
        <v>1977</v>
      </c>
      <c r="B770" s="499" t="s">
        <v>1978</v>
      </c>
      <c r="C770" s="491">
        <v>0</v>
      </c>
      <c r="D770" s="491">
        <v>0</v>
      </c>
      <c r="E770" s="492">
        <v>0</v>
      </c>
      <c r="F770" s="464">
        <v>0</v>
      </c>
      <c r="G770" s="493">
        <v>0</v>
      </c>
      <c r="W770" s="431">
        <v>8804</v>
      </c>
    </row>
    <row r="771" spans="1:23" hidden="1" x14ac:dyDescent="0.25">
      <c r="A771" s="489" t="s">
        <v>1979</v>
      </c>
      <c r="B771" s="499" t="s">
        <v>1980</v>
      </c>
      <c r="C771" s="491">
        <v>0</v>
      </c>
      <c r="D771" s="491">
        <v>0</v>
      </c>
      <c r="E771" s="492">
        <v>0</v>
      </c>
      <c r="F771" s="464">
        <v>0</v>
      </c>
      <c r="G771" s="493">
        <v>0</v>
      </c>
      <c r="W771" s="431">
        <v>8805</v>
      </c>
    </row>
    <row r="772" spans="1:23" hidden="1" x14ac:dyDescent="0.25">
      <c r="A772" s="489" t="s">
        <v>1981</v>
      </c>
      <c r="B772" s="498" t="s">
        <v>1982</v>
      </c>
      <c r="C772" s="491">
        <v>0</v>
      </c>
      <c r="D772" s="491">
        <v>0</v>
      </c>
      <c r="E772" s="492">
        <v>0</v>
      </c>
      <c r="F772" s="464">
        <v>0</v>
      </c>
      <c r="G772" s="493">
        <v>0</v>
      </c>
      <c r="W772" s="431">
        <v>8806</v>
      </c>
    </row>
    <row r="773" spans="1:23" hidden="1" x14ac:dyDescent="0.25">
      <c r="A773" s="489" t="s">
        <v>1983</v>
      </c>
      <c r="B773" s="499" t="s">
        <v>1984</v>
      </c>
      <c r="C773" s="491">
        <v>0</v>
      </c>
      <c r="D773" s="491">
        <v>0</v>
      </c>
      <c r="E773" s="492">
        <v>0</v>
      </c>
      <c r="F773" s="464">
        <v>0</v>
      </c>
      <c r="G773" s="493">
        <v>0</v>
      </c>
      <c r="W773" s="431">
        <v>8807</v>
      </c>
    </row>
    <row r="774" spans="1:23" hidden="1" x14ac:dyDescent="0.25">
      <c r="A774" s="489" t="s">
        <v>1985</v>
      </c>
      <c r="B774" s="499" t="s">
        <v>1986</v>
      </c>
      <c r="C774" s="491">
        <v>0</v>
      </c>
      <c r="D774" s="491">
        <v>0</v>
      </c>
      <c r="E774" s="492">
        <v>0</v>
      </c>
      <c r="F774" s="464">
        <v>0</v>
      </c>
      <c r="G774" s="493">
        <v>0</v>
      </c>
      <c r="W774" s="431">
        <v>8808</v>
      </c>
    </row>
    <row r="775" spans="1:23" hidden="1" x14ac:dyDescent="0.25">
      <c r="A775" s="489" t="s">
        <v>1987</v>
      </c>
      <c r="B775" s="498" t="s">
        <v>1988</v>
      </c>
      <c r="C775" s="491">
        <v>0</v>
      </c>
      <c r="D775" s="491">
        <v>0</v>
      </c>
      <c r="E775" s="492">
        <v>0</v>
      </c>
      <c r="F775" s="464">
        <v>0</v>
      </c>
      <c r="G775" s="493">
        <v>0</v>
      </c>
      <c r="W775" s="431">
        <v>8809</v>
      </c>
    </row>
    <row r="776" spans="1:23" hidden="1" x14ac:dyDescent="0.25">
      <c r="A776" s="489" t="s">
        <v>1989</v>
      </c>
      <c r="B776" s="499" t="s">
        <v>1990</v>
      </c>
      <c r="C776" s="491">
        <v>0</v>
      </c>
      <c r="D776" s="491">
        <v>0</v>
      </c>
      <c r="E776" s="492">
        <v>0</v>
      </c>
      <c r="F776" s="464">
        <v>0</v>
      </c>
      <c r="G776" s="493">
        <v>0</v>
      </c>
      <c r="W776" s="431">
        <v>8810</v>
      </c>
    </row>
    <row r="777" spans="1:23" hidden="1" x14ac:dyDescent="0.25">
      <c r="A777" s="489" t="s">
        <v>1991</v>
      </c>
      <c r="B777" s="499" t="s">
        <v>1992</v>
      </c>
      <c r="C777" s="491">
        <v>0</v>
      </c>
      <c r="D777" s="491">
        <v>0</v>
      </c>
      <c r="E777" s="492">
        <v>0</v>
      </c>
      <c r="F777" s="464">
        <v>0</v>
      </c>
      <c r="G777" s="493">
        <v>0</v>
      </c>
      <c r="W777" s="431">
        <v>8811</v>
      </c>
    </row>
    <row r="778" spans="1:23" ht="25.5" hidden="1" x14ac:dyDescent="0.25">
      <c r="A778" s="489" t="s">
        <v>1993</v>
      </c>
      <c r="B778" s="499" t="s">
        <v>1994</v>
      </c>
      <c r="C778" s="491">
        <v>0</v>
      </c>
      <c r="D778" s="491">
        <v>0</v>
      </c>
      <c r="E778" s="492">
        <v>0</v>
      </c>
      <c r="F778" s="464">
        <v>0</v>
      </c>
      <c r="G778" s="493">
        <v>0</v>
      </c>
      <c r="W778" s="431">
        <v>8812</v>
      </c>
    </row>
    <row r="779" spans="1:23" ht="25.5" hidden="1" x14ac:dyDescent="0.25">
      <c r="A779" s="489" t="s">
        <v>1995</v>
      </c>
      <c r="B779" s="499" t="s">
        <v>1996</v>
      </c>
      <c r="C779" s="491">
        <v>0</v>
      </c>
      <c r="D779" s="491">
        <v>0</v>
      </c>
      <c r="E779" s="492">
        <v>0</v>
      </c>
      <c r="F779" s="464">
        <v>0</v>
      </c>
      <c r="G779" s="493">
        <v>0</v>
      </c>
      <c r="W779" s="431">
        <v>8813</v>
      </c>
    </row>
    <row r="780" spans="1:23" hidden="1" x14ac:dyDescent="0.25">
      <c r="A780" s="489" t="s">
        <v>1997</v>
      </c>
      <c r="B780" s="499" t="s">
        <v>1998</v>
      </c>
      <c r="C780" s="491">
        <v>0</v>
      </c>
      <c r="D780" s="491">
        <v>0</v>
      </c>
      <c r="E780" s="492">
        <v>0</v>
      </c>
      <c r="F780" s="464">
        <v>0</v>
      </c>
      <c r="G780" s="493">
        <v>0</v>
      </c>
      <c r="W780" s="431">
        <v>8814</v>
      </c>
    </row>
    <row r="781" spans="1:23" ht="25.5" hidden="1" x14ac:dyDescent="0.25">
      <c r="A781" s="489" t="s">
        <v>1999</v>
      </c>
      <c r="B781" s="498" t="s">
        <v>2000</v>
      </c>
      <c r="C781" s="491">
        <v>0</v>
      </c>
      <c r="D781" s="491">
        <v>0</v>
      </c>
      <c r="E781" s="492">
        <v>0</v>
      </c>
      <c r="F781" s="464">
        <v>0</v>
      </c>
      <c r="G781" s="493">
        <v>0</v>
      </c>
      <c r="W781" s="431">
        <v>8815</v>
      </c>
    </row>
    <row r="782" spans="1:23" hidden="1" x14ac:dyDescent="0.25">
      <c r="A782" s="489" t="s">
        <v>2001</v>
      </c>
      <c r="B782" s="498" t="s">
        <v>2002</v>
      </c>
      <c r="C782" s="491">
        <v>0</v>
      </c>
      <c r="D782" s="491">
        <v>0</v>
      </c>
      <c r="E782" s="492">
        <v>0</v>
      </c>
      <c r="F782" s="464">
        <v>0</v>
      </c>
      <c r="G782" s="493">
        <v>0</v>
      </c>
      <c r="W782" s="431">
        <v>8816</v>
      </c>
    </row>
    <row r="783" spans="1:23" hidden="1" x14ac:dyDescent="0.25">
      <c r="A783" s="489" t="s">
        <v>2003</v>
      </c>
      <c r="B783" s="498" t="s">
        <v>2004</v>
      </c>
      <c r="C783" s="491">
        <v>0</v>
      </c>
      <c r="D783" s="491">
        <v>0</v>
      </c>
      <c r="E783" s="492">
        <v>0</v>
      </c>
      <c r="F783" s="464">
        <v>0</v>
      </c>
      <c r="G783" s="493">
        <v>0</v>
      </c>
      <c r="W783" s="431">
        <v>8817</v>
      </c>
    </row>
    <row r="784" spans="1:23" hidden="1" x14ac:dyDescent="0.25">
      <c r="A784" s="489" t="s">
        <v>2005</v>
      </c>
      <c r="B784" s="499" t="s">
        <v>2006</v>
      </c>
      <c r="C784" s="491">
        <v>0</v>
      </c>
      <c r="D784" s="491">
        <v>0</v>
      </c>
      <c r="E784" s="492">
        <v>0</v>
      </c>
      <c r="F784" s="464">
        <v>0</v>
      </c>
      <c r="G784" s="493">
        <v>0</v>
      </c>
      <c r="W784" s="431">
        <v>8818</v>
      </c>
    </row>
    <row r="785" spans="1:23" hidden="1" x14ac:dyDescent="0.25">
      <c r="A785" s="489" t="s">
        <v>2007</v>
      </c>
      <c r="B785" s="499" t="s">
        <v>2008</v>
      </c>
      <c r="C785" s="491">
        <v>0</v>
      </c>
      <c r="D785" s="491">
        <v>0</v>
      </c>
      <c r="E785" s="492">
        <v>0</v>
      </c>
      <c r="F785" s="464">
        <v>0</v>
      </c>
      <c r="G785" s="493">
        <v>0</v>
      </c>
      <c r="W785" s="431">
        <v>8819</v>
      </c>
    </row>
    <row r="786" spans="1:23" ht="25.5" hidden="1" x14ac:dyDescent="0.25">
      <c r="A786" s="489" t="s">
        <v>2009</v>
      </c>
      <c r="B786" s="499" t="s">
        <v>2010</v>
      </c>
      <c r="C786" s="491">
        <v>0</v>
      </c>
      <c r="D786" s="491">
        <v>0</v>
      </c>
      <c r="E786" s="492">
        <v>0</v>
      </c>
      <c r="F786" s="464">
        <v>0</v>
      </c>
      <c r="G786" s="493">
        <v>0</v>
      </c>
      <c r="W786" s="431">
        <v>8820</v>
      </c>
    </row>
    <row r="787" spans="1:23" hidden="1" x14ac:dyDescent="0.25">
      <c r="A787" s="489" t="s">
        <v>2011</v>
      </c>
      <c r="B787" s="499" t="s">
        <v>2012</v>
      </c>
      <c r="C787" s="491">
        <v>0</v>
      </c>
      <c r="D787" s="491">
        <v>0</v>
      </c>
      <c r="E787" s="492">
        <v>0</v>
      </c>
      <c r="F787" s="464">
        <v>0</v>
      </c>
      <c r="G787" s="493">
        <v>0</v>
      </c>
      <c r="W787" s="431">
        <v>8821</v>
      </c>
    </row>
    <row r="788" spans="1:23" ht="25.5" hidden="1" x14ac:dyDescent="0.25">
      <c r="A788" s="489" t="s">
        <v>2013</v>
      </c>
      <c r="B788" s="499" t="s">
        <v>2014</v>
      </c>
      <c r="C788" s="491">
        <v>0</v>
      </c>
      <c r="D788" s="491">
        <v>0</v>
      </c>
      <c r="E788" s="492">
        <v>0</v>
      </c>
      <c r="F788" s="464">
        <v>0</v>
      </c>
      <c r="G788" s="493">
        <v>0</v>
      </c>
      <c r="W788" s="431">
        <v>8822</v>
      </c>
    </row>
    <row r="789" spans="1:23" ht="63.75" hidden="1" x14ac:dyDescent="0.25">
      <c r="A789" s="489" t="s">
        <v>2015</v>
      </c>
      <c r="B789" s="499" t="s">
        <v>2016</v>
      </c>
      <c r="C789" s="491">
        <v>0</v>
      </c>
      <c r="D789" s="491">
        <v>0</v>
      </c>
      <c r="E789" s="492">
        <v>0</v>
      </c>
      <c r="F789" s="464">
        <v>0</v>
      </c>
      <c r="G789" s="493">
        <v>0</v>
      </c>
      <c r="W789" s="431">
        <v>8823</v>
      </c>
    </row>
    <row r="790" spans="1:23" ht="38.25" hidden="1" x14ac:dyDescent="0.25">
      <c r="A790" s="489" t="s">
        <v>2017</v>
      </c>
      <c r="B790" s="499" t="s">
        <v>2018</v>
      </c>
      <c r="C790" s="491">
        <v>0</v>
      </c>
      <c r="D790" s="491">
        <v>0</v>
      </c>
      <c r="E790" s="492">
        <v>0</v>
      </c>
      <c r="F790" s="464">
        <v>0</v>
      </c>
      <c r="G790" s="493">
        <v>0</v>
      </c>
      <c r="W790" s="431">
        <v>8824</v>
      </c>
    </row>
    <row r="791" spans="1:23" hidden="1" x14ac:dyDescent="0.25">
      <c r="A791" s="489" t="s">
        <v>2019</v>
      </c>
      <c r="B791" s="497" t="s">
        <v>2020</v>
      </c>
      <c r="C791" s="491">
        <v>0</v>
      </c>
      <c r="D791" s="491">
        <v>0</v>
      </c>
      <c r="E791" s="492">
        <v>0</v>
      </c>
      <c r="F791" s="464">
        <v>0</v>
      </c>
      <c r="G791" s="493">
        <v>0</v>
      </c>
      <c r="W791" s="431">
        <v>8825</v>
      </c>
    </row>
    <row r="792" spans="1:23" hidden="1" x14ac:dyDescent="0.25">
      <c r="A792" s="489" t="s">
        <v>2021</v>
      </c>
      <c r="B792" s="498" t="s">
        <v>2022</v>
      </c>
      <c r="C792" s="491">
        <v>0</v>
      </c>
      <c r="D792" s="491">
        <v>0</v>
      </c>
      <c r="E792" s="492">
        <v>0</v>
      </c>
      <c r="F792" s="464">
        <v>0</v>
      </c>
      <c r="G792" s="493">
        <v>0</v>
      </c>
      <c r="W792" s="431">
        <v>8826</v>
      </c>
    </row>
    <row r="793" spans="1:23" hidden="1" x14ac:dyDescent="0.25">
      <c r="A793" s="489" t="s">
        <v>2023</v>
      </c>
      <c r="B793" s="499" t="s">
        <v>2024</v>
      </c>
      <c r="C793" s="491">
        <v>0</v>
      </c>
      <c r="D793" s="491">
        <v>0</v>
      </c>
      <c r="E793" s="492">
        <v>0</v>
      </c>
      <c r="F793" s="464">
        <v>0</v>
      </c>
      <c r="G793" s="493">
        <v>0</v>
      </c>
      <c r="W793" s="431">
        <v>8827</v>
      </c>
    </row>
    <row r="794" spans="1:23" hidden="1" x14ac:dyDescent="0.25">
      <c r="A794" s="489" t="s">
        <v>2025</v>
      </c>
      <c r="B794" s="499" t="s">
        <v>2026</v>
      </c>
      <c r="C794" s="491">
        <v>0</v>
      </c>
      <c r="D794" s="491">
        <v>0</v>
      </c>
      <c r="E794" s="492">
        <v>0</v>
      </c>
      <c r="F794" s="464">
        <v>0</v>
      </c>
      <c r="G794" s="493">
        <v>0</v>
      </c>
      <c r="W794" s="431">
        <v>8828</v>
      </c>
    </row>
    <row r="795" spans="1:23" ht="25.5" hidden="1" x14ac:dyDescent="0.25">
      <c r="A795" s="489" t="s">
        <v>2027</v>
      </c>
      <c r="B795" s="499" t="s">
        <v>2028</v>
      </c>
      <c r="C795" s="491">
        <v>0</v>
      </c>
      <c r="D795" s="491">
        <v>0</v>
      </c>
      <c r="E795" s="492">
        <v>0</v>
      </c>
      <c r="F795" s="464">
        <v>0</v>
      </c>
      <c r="G795" s="493">
        <v>0</v>
      </c>
      <c r="W795" s="431">
        <v>8829</v>
      </c>
    </row>
    <row r="796" spans="1:23" ht="25.5" hidden="1" x14ac:dyDescent="0.25">
      <c r="A796" s="489" t="s">
        <v>2029</v>
      </c>
      <c r="B796" s="499" t="s">
        <v>2030</v>
      </c>
      <c r="C796" s="491">
        <v>0</v>
      </c>
      <c r="D796" s="491">
        <v>0</v>
      </c>
      <c r="E796" s="492">
        <v>0</v>
      </c>
      <c r="F796" s="464">
        <v>0</v>
      </c>
      <c r="G796" s="493">
        <v>0</v>
      </c>
      <c r="W796" s="431">
        <v>8830</v>
      </c>
    </row>
    <row r="797" spans="1:23" hidden="1" x14ac:dyDescent="0.25">
      <c r="A797" s="489" t="s">
        <v>2031</v>
      </c>
      <c r="B797" s="499" t="s">
        <v>2032</v>
      </c>
      <c r="C797" s="491">
        <v>0</v>
      </c>
      <c r="D797" s="491">
        <v>0</v>
      </c>
      <c r="E797" s="492">
        <v>0</v>
      </c>
      <c r="F797" s="464">
        <v>0</v>
      </c>
      <c r="G797" s="493">
        <v>0</v>
      </c>
      <c r="W797" s="431">
        <v>8831</v>
      </c>
    </row>
    <row r="798" spans="1:23" hidden="1" x14ac:dyDescent="0.25">
      <c r="A798" s="489" t="s">
        <v>2033</v>
      </c>
      <c r="B798" s="498" t="s">
        <v>2034</v>
      </c>
      <c r="C798" s="491">
        <v>0</v>
      </c>
      <c r="D798" s="491">
        <v>0</v>
      </c>
      <c r="E798" s="492">
        <v>0</v>
      </c>
      <c r="F798" s="464">
        <v>0</v>
      </c>
      <c r="G798" s="493">
        <v>0</v>
      </c>
      <c r="W798" s="431">
        <v>8832</v>
      </c>
    </row>
    <row r="799" spans="1:23" hidden="1" x14ac:dyDescent="0.25">
      <c r="A799" s="489" t="s">
        <v>2035</v>
      </c>
      <c r="B799" s="498" t="s">
        <v>2036</v>
      </c>
      <c r="C799" s="491">
        <v>0</v>
      </c>
      <c r="D799" s="491">
        <v>0</v>
      </c>
      <c r="E799" s="492">
        <v>0</v>
      </c>
      <c r="F799" s="464">
        <v>0</v>
      </c>
      <c r="G799" s="493">
        <v>0</v>
      </c>
      <c r="W799" s="431">
        <v>8833</v>
      </c>
    </row>
    <row r="800" spans="1:23" ht="25.5" hidden="1" x14ac:dyDescent="0.25">
      <c r="A800" s="489" t="s">
        <v>2037</v>
      </c>
      <c r="B800" s="498" t="s">
        <v>2038</v>
      </c>
      <c r="C800" s="491">
        <v>0</v>
      </c>
      <c r="D800" s="491">
        <v>0</v>
      </c>
      <c r="E800" s="492">
        <v>0</v>
      </c>
      <c r="F800" s="464">
        <v>0</v>
      </c>
      <c r="G800" s="493">
        <v>0</v>
      </c>
      <c r="W800" s="431">
        <v>8834</v>
      </c>
    </row>
    <row r="801" spans="1:23" hidden="1" x14ac:dyDescent="0.25">
      <c r="A801" s="489" t="s">
        <v>2039</v>
      </c>
      <c r="B801" s="498" t="s">
        <v>2040</v>
      </c>
      <c r="C801" s="491">
        <v>0</v>
      </c>
      <c r="D801" s="491">
        <v>0</v>
      </c>
      <c r="E801" s="492">
        <v>0</v>
      </c>
      <c r="F801" s="464">
        <v>0</v>
      </c>
      <c r="G801" s="493">
        <v>0</v>
      </c>
      <c r="W801" s="431">
        <v>8835</v>
      </c>
    </row>
    <row r="802" spans="1:23" ht="25.5" hidden="1" x14ac:dyDescent="0.25">
      <c r="A802" s="489" t="s">
        <v>2041</v>
      </c>
      <c r="B802" s="497" t="s">
        <v>2042</v>
      </c>
      <c r="C802" s="491">
        <v>0</v>
      </c>
      <c r="D802" s="491">
        <v>0</v>
      </c>
      <c r="E802" s="492">
        <v>0</v>
      </c>
      <c r="F802" s="464">
        <v>0</v>
      </c>
      <c r="G802" s="493">
        <v>0</v>
      </c>
      <c r="W802" s="431">
        <v>8836</v>
      </c>
    </row>
    <row r="803" spans="1:23" hidden="1" x14ac:dyDescent="0.25">
      <c r="A803" s="489" t="s">
        <v>2043</v>
      </c>
      <c r="B803" s="498" t="s">
        <v>2044</v>
      </c>
      <c r="C803" s="491">
        <v>0</v>
      </c>
      <c r="D803" s="491">
        <v>0</v>
      </c>
      <c r="E803" s="492">
        <v>0</v>
      </c>
      <c r="F803" s="464">
        <v>0</v>
      </c>
      <c r="G803" s="493">
        <v>0</v>
      </c>
      <c r="W803" s="431">
        <v>8837</v>
      </c>
    </row>
    <row r="804" spans="1:23" hidden="1" x14ac:dyDescent="0.25">
      <c r="A804" s="489" t="s">
        <v>2045</v>
      </c>
      <c r="B804" s="499" t="s">
        <v>2046</v>
      </c>
      <c r="C804" s="491">
        <v>0</v>
      </c>
      <c r="D804" s="491">
        <v>0</v>
      </c>
      <c r="E804" s="492">
        <v>0</v>
      </c>
      <c r="F804" s="464">
        <v>0</v>
      </c>
      <c r="G804" s="493">
        <v>0</v>
      </c>
      <c r="W804" s="431">
        <v>8838</v>
      </c>
    </row>
    <row r="805" spans="1:23" ht="25.5" hidden="1" x14ac:dyDescent="0.25">
      <c r="A805" s="489" t="s">
        <v>2047</v>
      </c>
      <c r="B805" s="499" t="s">
        <v>2048</v>
      </c>
      <c r="C805" s="491">
        <v>0</v>
      </c>
      <c r="D805" s="491">
        <v>0</v>
      </c>
      <c r="E805" s="492">
        <v>0</v>
      </c>
      <c r="F805" s="464">
        <v>0</v>
      </c>
      <c r="G805" s="493">
        <v>0</v>
      </c>
      <c r="W805" s="431">
        <v>8839</v>
      </c>
    </row>
    <row r="806" spans="1:23" ht="25.5" hidden="1" x14ac:dyDescent="0.25">
      <c r="A806" s="489" t="s">
        <v>2049</v>
      </c>
      <c r="B806" s="499" t="s">
        <v>2050</v>
      </c>
      <c r="C806" s="491">
        <v>0</v>
      </c>
      <c r="D806" s="491">
        <v>0</v>
      </c>
      <c r="E806" s="492">
        <v>0</v>
      </c>
      <c r="F806" s="464">
        <v>0</v>
      </c>
      <c r="G806" s="493">
        <v>0</v>
      </c>
      <c r="W806" s="431">
        <v>8840</v>
      </c>
    </row>
    <row r="807" spans="1:23" ht="25.5" hidden="1" x14ac:dyDescent="0.25">
      <c r="A807" s="489" t="s">
        <v>2051</v>
      </c>
      <c r="B807" s="498" t="s">
        <v>2052</v>
      </c>
      <c r="C807" s="491">
        <v>0</v>
      </c>
      <c r="D807" s="491">
        <v>0</v>
      </c>
      <c r="E807" s="492">
        <v>0</v>
      </c>
      <c r="F807" s="464">
        <v>0</v>
      </c>
      <c r="G807" s="493">
        <v>0</v>
      </c>
      <c r="W807" s="431">
        <v>8841</v>
      </c>
    </row>
    <row r="808" spans="1:23" hidden="1" x14ac:dyDescent="0.25">
      <c r="A808" s="489" t="s">
        <v>2053</v>
      </c>
      <c r="B808" s="499" t="s">
        <v>2054</v>
      </c>
      <c r="C808" s="491">
        <v>0</v>
      </c>
      <c r="D808" s="491">
        <v>0</v>
      </c>
      <c r="E808" s="492">
        <v>0</v>
      </c>
      <c r="F808" s="464">
        <v>0</v>
      </c>
      <c r="G808" s="493">
        <v>0</v>
      </c>
      <c r="W808" s="431">
        <v>8842</v>
      </c>
    </row>
    <row r="809" spans="1:23" hidden="1" x14ac:dyDescent="0.25">
      <c r="A809" s="489" t="s">
        <v>2055</v>
      </c>
      <c r="B809" s="499" t="s">
        <v>2056</v>
      </c>
      <c r="C809" s="491">
        <v>0</v>
      </c>
      <c r="D809" s="491">
        <v>0</v>
      </c>
      <c r="E809" s="492">
        <v>0</v>
      </c>
      <c r="F809" s="464">
        <v>0</v>
      </c>
      <c r="G809" s="493">
        <v>0</v>
      </c>
      <c r="W809" s="431">
        <v>8843</v>
      </c>
    </row>
    <row r="810" spans="1:23" hidden="1" x14ac:dyDescent="0.25">
      <c r="A810" s="489" t="s">
        <v>2057</v>
      </c>
      <c r="B810" s="499" t="s">
        <v>2058</v>
      </c>
      <c r="C810" s="491">
        <v>0</v>
      </c>
      <c r="D810" s="491">
        <v>0</v>
      </c>
      <c r="E810" s="492">
        <v>0</v>
      </c>
      <c r="F810" s="464">
        <v>0</v>
      </c>
      <c r="G810" s="493">
        <v>0</v>
      </c>
      <c r="W810" s="431">
        <v>8844</v>
      </c>
    </row>
    <row r="811" spans="1:23" ht="38.25" hidden="1" x14ac:dyDescent="0.25">
      <c r="A811" s="489" t="s">
        <v>2059</v>
      </c>
      <c r="B811" s="497" t="s">
        <v>2060</v>
      </c>
      <c r="C811" s="491">
        <v>0</v>
      </c>
      <c r="D811" s="491">
        <v>0</v>
      </c>
      <c r="E811" s="492">
        <v>0</v>
      </c>
      <c r="F811" s="464">
        <v>0</v>
      </c>
      <c r="G811" s="493">
        <v>0</v>
      </c>
      <c r="W811" s="431">
        <v>8845</v>
      </c>
    </row>
    <row r="812" spans="1:23" ht="25.5" hidden="1" x14ac:dyDescent="0.25">
      <c r="A812" s="489" t="s">
        <v>2061</v>
      </c>
      <c r="B812" s="498" t="s">
        <v>2062</v>
      </c>
      <c r="C812" s="491">
        <v>0</v>
      </c>
      <c r="D812" s="491">
        <v>0</v>
      </c>
      <c r="E812" s="492">
        <v>0</v>
      </c>
      <c r="F812" s="464">
        <v>0</v>
      </c>
      <c r="G812" s="493">
        <v>0</v>
      </c>
      <c r="W812" s="431">
        <v>8846</v>
      </c>
    </row>
    <row r="813" spans="1:23" ht="38.25" hidden="1" x14ac:dyDescent="0.25">
      <c r="A813" s="489" t="s">
        <v>2063</v>
      </c>
      <c r="B813" s="498" t="s">
        <v>2064</v>
      </c>
      <c r="C813" s="491">
        <v>0</v>
      </c>
      <c r="D813" s="491">
        <v>0</v>
      </c>
      <c r="E813" s="492">
        <v>0</v>
      </c>
      <c r="F813" s="464">
        <v>0</v>
      </c>
      <c r="G813" s="493">
        <v>0</v>
      </c>
      <c r="W813" s="431">
        <v>8847</v>
      </c>
    </row>
    <row r="814" spans="1:23" s="469" customFormat="1" ht="25.5" hidden="1" x14ac:dyDescent="0.25">
      <c r="A814" s="483" t="s">
        <v>2065</v>
      </c>
      <c r="B814" s="495" t="s">
        <v>2066</v>
      </c>
      <c r="C814" s="488">
        <v>0</v>
      </c>
      <c r="D814" s="488">
        <v>0</v>
      </c>
      <c r="E814" s="485">
        <v>0</v>
      </c>
      <c r="F814" s="457">
        <v>0</v>
      </c>
      <c r="G814" s="493">
        <v>0</v>
      </c>
      <c r="W814" s="469">
        <v>8848</v>
      </c>
    </row>
    <row r="815" spans="1:23" s="469" customFormat="1" ht="25.5" hidden="1" x14ac:dyDescent="0.25">
      <c r="A815" s="483" t="s">
        <v>318</v>
      </c>
      <c r="B815" s="504" t="s">
        <v>2067</v>
      </c>
      <c r="C815" s="488">
        <v>0</v>
      </c>
      <c r="D815" s="488">
        <v>0</v>
      </c>
      <c r="E815" s="485">
        <v>0</v>
      </c>
      <c r="F815" s="457">
        <v>0</v>
      </c>
      <c r="G815" s="493">
        <v>0</v>
      </c>
      <c r="W815" s="469">
        <v>8849</v>
      </c>
    </row>
    <row r="816" spans="1:23" hidden="1" x14ac:dyDescent="0.25">
      <c r="A816" s="489" t="s">
        <v>2068</v>
      </c>
      <c r="B816" s="497" t="s">
        <v>2069</v>
      </c>
      <c r="C816" s="491">
        <v>0</v>
      </c>
      <c r="D816" s="491">
        <v>0</v>
      </c>
      <c r="E816" s="492">
        <v>0</v>
      </c>
      <c r="F816" s="464">
        <v>0</v>
      </c>
      <c r="G816" s="493">
        <v>0</v>
      </c>
      <c r="W816" s="431">
        <v>8850</v>
      </c>
    </row>
    <row r="817" spans="1:23" ht="25.5" hidden="1" x14ac:dyDescent="0.25">
      <c r="A817" s="489" t="s">
        <v>2070</v>
      </c>
      <c r="B817" s="498" t="s">
        <v>2071</v>
      </c>
      <c r="C817" s="491">
        <v>0</v>
      </c>
      <c r="D817" s="491">
        <v>0</v>
      </c>
      <c r="E817" s="492">
        <v>0</v>
      </c>
      <c r="F817" s="464">
        <v>0</v>
      </c>
      <c r="G817" s="493">
        <v>0</v>
      </c>
      <c r="W817" s="431">
        <v>8851</v>
      </c>
    </row>
    <row r="818" spans="1:23" hidden="1" x14ac:dyDescent="0.25">
      <c r="A818" s="489" t="s">
        <v>2072</v>
      </c>
      <c r="B818" s="498" t="s">
        <v>2073</v>
      </c>
      <c r="C818" s="491">
        <v>0</v>
      </c>
      <c r="D818" s="491">
        <v>0</v>
      </c>
      <c r="E818" s="492">
        <v>0</v>
      </c>
      <c r="F818" s="464">
        <v>0</v>
      </c>
      <c r="G818" s="493">
        <v>0</v>
      </c>
      <c r="W818" s="431">
        <v>8852</v>
      </c>
    </row>
    <row r="819" spans="1:23" hidden="1" x14ac:dyDescent="0.25">
      <c r="A819" s="489" t="s">
        <v>2074</v>
      </c>
      <c r="B819" s="499" t="s">
        <v>2075</v>
      </c>
      <c r="C819" s="491">
        <v>0</v>
      </c>
      <c r="D819" s="491">
        <v>0</v>
      </c>
      <c r="E819" s="492">
        <v>0</v>
      </c>
      <c r="F819" s="464">
        <v>0</v>
      </c>
      <c r="G819" s="493">
        <v>0</v>
      </c>
      <c r="W819" s="431">
        <v>8853</v>
      </c>
    </row>
    <row r="820" spans="1:23" hidden="1" x14ac:dyDescent="0.25">
      <c r="A820" s="489" t="s">
        <v>2076</v>
      </c>
      <c r="B820" s="499" t="s">
        <v>2077</v>
      </c>
      <c r="C820" s="491">
        <v>0</v>
      </c>
      <c r="D820" s="491">
        <v>0</v>
      </c>
      <c r="E820" s="492">
        <v>0</v>
      </c>
      <c r="F820" s="464">
        <v>0</v>
      </c>
      <c r="G820" s="493">
        <v>0</v>
      </c>
      <c r="W820" s="431">
        <v>8854</v>
      </c>
    </row>
    <row r="821" spans="1:23" hidden="1" x14ac:dyDescent="0.25">
      <c r="A821" s="489" t="s">
        <v>2078</v>
      </c>
      <c r="B821" s="499" t="s">
        <v>2079</v>
      </c>
      <c r="C821" s="491">
        <v>0</v>
      </c>
      <c r="D821" s="491">
        <v>0</v>
      </c>
      <c r="E821" s="492">
        <v>0</v>
      </c>
      <c r="F821" s="464">
        <v>0</v>
      </c>
      <c r="G821" s="493">
        <v>0</v>
      </c>
      <c r="W821" s="431">
        <v>8855</v>
      </c>
    </row>
    <row r="822" spans="1:23" ht="38.25" hidden="1" x14ac:dyDescent="0.25">
      <c r="A822" s="489" t="s">
        <v>2080</v>
      </c>
      <c r="B822" s="499" t="s">
        <v>2081</v>
      </c>
      <c r="C822" s="491">
        <v>0</v>
      </c>
      <c r="D822" s="491">
        <v>0</v>
      </c>
      <c r="E822" s="492">
        <v>0</v>
      </c>
      <c r="F822" s="464">
        <v>0</v>
      </c>
      <c r="G822" s="493">
        <v>0</v>
      </c>
      <c r="W822" s="431">
        <v>8856</v>
      </c>
    </row>
    <row r="823" spans="1:23" ht="25.5" hidden="1" x14ac:dyDescent="0.25">
      <c r="A823" s="489" t="s">
        <v>2082</v>
      </c>
      <c r="B823" s="499" t="s">
        <v>2083</v>
      </c>
      <c r="C823" s="491">
        <v>0</v>
      </c>
      <c r="D823" s="491">
        <v>0</v>
      </c>
      <c r="E823" s="492">
        <v>0</v>
      </c>
      <c r="F823" s="464">
        <v>0</v>
      </c>
      <c r="G823" s="493">
        <v>0</v>
      </c>
    </row>
    <row r="824" spans="1:23" ht="38.25" hidden="1" x14ac:dyDescent="0.25">
      <c r="A824" s="489" t="s">
        <v>2084</v>
      </c>
      <c r="B824" s="498" t="s">
        <v>2085</v>
      </c>
      <c r="C824" s="491">
        <v>0</v>
      </c>
      <c r="D824" s="491">
        <v>0</v>
      </c>
      <c r="E824" s="492">
        <v>0</v>
      </c>
      <c r="F824" s="464">
        <v>0</v>
      </c>
      <c r="G824" s="493">
        <v>0</v>
      </c>
      <c r="W824" s="431">
        <v>8857</v>
      </c>
    </row>
    <row r="825" spans="1:23" hidden="1" x14ac:dyDescent="0.25">
      <c r="A825" s="489" t="s">
        <v>2086</v>
      </c>
      <c r="B825" s="497" t="s">
        <v>2087</v>
      </c>
      <c r="C825" s="491">
        <v>0</v>
      </c>
      <c r="D825" s="491">
        <v>0</v>
      </c>
      <c r="E825" s="492">
        <v>0</v>
      </c>
      <c r="F825" s="464">
        <v>0</v>
      </c>
      <c r="G825" s="493">
        <v>0</v>
      </c>
      <c r="W825" s="431">
        <v>8861</v>
      </c>
    </row>
    <row r="826" spans="1:23" ht="25.5" hidden="1" x14ac:dyDescent="0.25">
      <c r="A826" s="489" t="s">
        <v>2088</v>
      </c>
      <c r="B826" s="498" t="s">
        <v>2089</v>
      </c>
      <c r="C826" s="491">
        <v>0</v>
      </c>
      <c r="D826" s="491">
        <v>0</v>
      </c>
      <c r="E826" s="492">
        <v>0</v>
      </c>
      <c r="F826" s="464">
        <v>0</v>
      </c>
      <c r="G826" s="493">
        <v>0</v>
      </c>
      <c r="W826" s="431">
        <v>8862</v>
      </c>
    </row>
    <row r="827" spans="1:23" hidden="1" x14ac:dyDescent="0.25">
      <c r="A827" s="489" t="s">
        <v>2090</v>
      </c>
      <c r="B827" s="499" t="s">
        <v>2091</v>
      </c>
      <c r="C827" s="491">
        <v>0</v>
      </c>
      <c r="D827" s="491">
        <v>0</v>
      </c>
      <c r="E827" s="492">
        <v>0</v>
      </c>
      <c r="F827" s="464">
        <v>0</v>
      </c>
      <c r="G827" s="493">
        <v>0</v>
      </c>
      <c r="W827" s="431">
        <v>8863</v>
      </c>
    </row>
    <row r="828" spans="1:23" hidden="1" x14ac:dyDescent="0.25">
      <c r="A828" s="489" t="s">
        <v>2092</v>
      </c>
      <c r="B828" s="499" t="s">
        <v>2093</v>
      </c>
      <c r="C828" s="491">
        <v>0</v>
      </c>
      <c r="D828" s="491">
        <v>0</v>
      </c>
      <c r="E828" s="492">
        <v>0</v>
      </c>
      <c r="F828" s="464">
        <v>0</v>
      </c>
      <c r="G828" s="493">
        <v>0</v>
      </c>
      <c r="W828" s="431">
        <v>8864</v>
      </c>
    </row>
    <row r="829" spans="1:23" hidden="1" x14ac:dyDescent="0.25">
      <c r="A829" s="489" t="s">
        <v>2094</v>
      </c>
      <c r="B829" s="499" t="s">
        <v>2095</v>
      </c>
      <c r="C829" s="491">
        <v>0</v>
      </c>
      <c r="D829" s="491">
        <v>0</v>
      </c>
      <c r="E829" s="492">
        <v>0</v>
      </c>
      <c r="F829" s="464">
        <v>0</v>
      </c>
      <c r="G829" s="493">
        <v>0</v>
      </c>
      <c r="W829" s="431">
        <v>8865</v>
      </c>
    </row>
    <row r="830" spans="1:23" hidden="1" x14ac:dyDescent="0.25">
      <c r="A830" s="489" t="s">
        <v>2096</v>
      </c>
      <c r="B830" s="498" t="s">
        <v>2097</v>
      </c>
      <c r="C830" s="491">
        <v>0</v>
      </c>
      <c r="D830" s="491">
        <v>0</v>
      </c>
      <c r="E830" s="492">
        <v>0</v>
      </c>
      <c r="F830" s="464">
        <v>0</v>
      </c>
      <c r="G830" s="493">
        <v>0</v>
      </c>
      <c r="W830" s="431">
        <v>8866</v>
      </c>
    </row>
    <row r="831" spans="1:23" hidden="1" x14ac:dyDescent="0.25">
      <c r="A831" s="489" t="s">
        <v>2098</v>
      </c>
      <c r="B831" s="498" t="s">
        <v>2099</v>
      </c>
      <c r="C831" s="491">
        <v>0</v>
      </c>
      <c r="D831" s="491">
        <v>0</v>
      </c>
      <c r="E831" s="492">
        <v>0</v>
      </c>
      <c r="F831" s="464">
        <v>0</v>
      </c>
      <c r="G831" s="493">
        <v>0</v>
      </c>
      <c r="W831" s="431">
        <v>8867</v>
      </c>
    </row>
    <row r="832" spans="1:23" s="469" customFormat="1" hidden="1" x14ac:dyDescent="0.25">
      <c r="A832" s="483" t="s">
        <v>320</v>
      </c>
      <c r="B832" s="504" t="s">
        <v>2100</v>
      </c>
      <c r="C832" s="488">
        <v>0</v>
      </c>
      <c r="D832" s="488">
        <v>0</v>
      </c>
      <c r="E832" s="485">
        <v>0</v>
      </c>
      <c r="F832" s="457">
        <v>0</v>
      </c>
      <c r="G832" s="493">
        <v>0</v>
      </c>
      <c r="W832" s="469">
        <v>8868</v>
      </c>
    </row>
    <row r="833" spans="1:23" hidden="1" x14ac:dyDescent="0.25">
      <c r="A833" s="489" t="s">
        <v>2101</v>
      </c>
      <c r="B833" s="497" t="s">
        <v>2102</v>
      </c>
      <c r="C833" s="491">
        <v>0</v>
      </c>
      <c r="D833" s="491">
        <v>0</v>
      </c>
      <c r="E833" s="492">
        <v>0</v>
      </c>
      <c r="F833" s="464">
        <v>0</v>
      </c>
      <c r="G833" s="493">
        <v>0</v>
      </c>
      <c r="W833" s="431">
        <v>8869</v>
      </c>
    </row>
    <row r="834" spans="1:23" ht="25.5" hidden="1" x14ac:dyDescent="0.25">
      <c r="A834" s="489" t="s">
        <v>2103</v>
      </c>
      <c r="B834" s="498" t="s">
        <v>2104</v>
      </c>
      <c r="C834" s="491">
        <v>0</v>
      </c>
      <c r="D834" s="491">
        <v>0</v>
      </c>
      <c r="E834" s="492">
        <v>0</v>
      </c>
      <c r="F834" s="464">
        <v>0</v>
      </c>
      <c r="G834" s="493">
        <v>0</v>
      </c>
      <c r="W834" s="431">
        <v>8870</v>
      </c>
    </row>
    <row r="835" spans="1:23" ht="25.5" hidden="1" x14ac:dyDescent="0.25">
      <c r="A835" s="489" t="s">
        <v>2105</v>
      </c>
      <c r="B835" s="498" t="s">
        <v>2106</v>
      </c>
      <c r="C835" s="491">
        <v>0</v>
      </c>
      <c r="D835" s="491">
        <v>0</v>
      </c>
      <c r="E835" s="492">
        <v>0</v>
      </c>
      <c r="F835" s="464">
        <v>0</v>
      </c>
      <c r="G835" s="493">
        <v>0</v>
      </c>
      <c r="W835" s="431">
        <v>8871</v>
      </c>
    </row>
    <row r="836" spans="1:23" ht="25.5" hidden="1" x14ac:dyDescent="0.25">
      <c r="A836" s="489" t="s">
        <v>2107</v>
      </c>
      <c r="B836" s="498" t="s">
        <v>2108</v>
      </c>
      <c r="C836" s="491">
        <v>0</v>
      </c>
      <c r="D836" s="491">
        <v>0</v>
      </c>
      <c r="E836" s="492">
        <v>0</v>
      </c>
      <c r="F836" s="464">
        <v>0</v>
      </c>
      <c r="G836" s="493">
        <v>0</v>
      </c>
      <c r="W836" s="431">
        <v>8872</v>
      </c>
    </row>
    <row r="837" spans="1:23" ht="38.25" hidden="1" x14ac:dyDescent="0.25">
      <c r="A837" s="489" t="s">
        <v>2109</v>
      </c>
      <c r="B837" s="499" t="s">
        <v>2110</v>
      </c>
      <c r="C837" s="491">
        <v>0</v>
      </c>
      <c r="D837" s="491">
        <v>0</v>
      </c>
      <c r="E837" s="492">
        <v>0</v>
      </c>
      <c r="F837" s="464">
        <v>0</v>
      </c>
      <c r="G837" s="493">
        <v>0</v>
      </c>
      <c r="W837" s="431">
        <v>8873</v>
      </c>
    </row>
    <row r="838" spans="1:23" ht="38.25" hidden="1" x14ac:dyDescent="0.25">
      <c r="A838" s="489" t="s">
        <v>2111</v>
      </c>
      <c r="B838" s="499" t="s">
        <v>2112</v>
      </c>
      <c r="C838" s="491">
        <v>0</v>
      </c>
      <c r="D838" s="491">
        <v>0</v>
      </c>
      <c r="E838" s="492">
        <v>0</v>
      </c>
      <c r="F838" s="464">
        <v>0</v>
      </c>
      <c r="G838" s="493">
        <v>0</v>
      </c>
      <c r="W838" s="431">
        <v>8874</v>
      </c>
    </row>
    <row r="839" spans="1:23" ht="51" hidden="1" x14ac:dyDescent="0.25">
      <c r="A839" s="489" t="s">
        <v>2113</v>
      </c>
      <c r="B839" s="499" t="s">
        <v>2114</v>
      </c>
      <c r="C839" s="491">
        <v>0</v>
      </c>
      <c r="D839" s="491">
        <v>0</v>
      </c>
      <c r="E839" s="492">
        <v>0</v>
      </c>
      <c r="F839" s="464">
        <v>0</v>
      </c>
      <c r="G839" s="493">
        <v>0</v>
      </c>
      <c r="W839" s="431">
        <v>8875</v>
      </c>
    </row>
    <row r="840" spans="1:23" ht="51" hidden="1" x14ac:dyDescent="0.25">
      <c r="A840" s="489" t="s">
        <v>2115</v>
      </c>
      <c r="B840" s="499" t="s">
        <v>2116</v>
      </c>
      <c r="C840" s="491">
        <v>0</v>
      </c>
      <c r="D840" s="491">
        <v>0</v>
      </c>
      <c r="E840" s="492">
        <v>0</v>
      </c>
      <c r="F840" s="464">
        <v>0</v>
      </c>
      <c r="G840" s="493">
        <v>0</v>
      </c>
      <c r="W840" s="431">
        <v>8876</v>
      </c>
    </row>
    <row r="841" spans="1:23" ht="38.25" hidden="1" x14ac:dyDescent="0.25">
      <c r="A841" s="489" t="s">
        <v>2117</v>
      </c>
      <c r="B841" s="499" t="s">
        <v>2118</v>
      </c>
      <c r="C841" s="491">
        <v>0</v>
      </c>
      <c r="D841" s="491">
        <v>0</v>
      </c>
      <c r="E841" s="492">
        <v>0</v>
      </c>
      <c r="F841" s="464">
        <v>0</v>
      </c>
      <c r="G841" s="493">
        <v>0</v>
      </c>
      <c r="W841" s="431">
        <v>8877</v>
      </c>
    </row>
    <row r="842" spans="1:23" ht="25.5" hidden="1" x14ac:dyDescent="0.25">
      <c r="A842" s="489" t="s">
        <v>2119</v>
      </c>
      <c r="B842" s="498" t="s">
        <v>2120</v>
      </c>
      <c r="C842" s="491">
        <v>0</v>
      </c>
      <c r="D842" s="491">
        <v>0</v>
      </c>
      <c r="E842" s="492">
        <v>0</v>
      </c>
      <c r="F842" s="464">
        <v>0</v>
      </c>
      <c r="G842" s="493">
        <v>0</v>
      </c>
      <c r="W842" s="431">
        <v>8878</v>
      </c>
    </row>
    <row r="843" spans="1:23" hidden="1" x14ac:dyDescent="0.25">
      <c r="A843" s="489" t="s">
        <v>2121</v>
      </c>
      <c r="B843" s="497" t="s">
        <v>2122</v>
      </c>
      <c r="C843" s="491">
        <v>0</v>
      </c>
      <c r="D843" s="491">
        <v>0</v>
      </c>
      <c r="E843" s="492">
        <v>0</v>
      </c>
      <c r="F843" s="464">
        <v>0</v>
      </c>
      <c r="G843" s="493">
        <v>0</v>
      </c>
      <c r="W843" s="431">
        <v>8879</v>
      </c>
    </row>
    <row r="844" spans="1:23" ht="25.5" hidden="1" x14ac:dyDescent="0.25">
      <c r="A844" s="489" t="s">
        <v>2123</v>
      </c>
      <c r="B844" s="498" t="s">
        <v>2124</v>
      </c>
      <c r="C844" s="491">
        <v>0</v>
      </c>
      <c r="D844" s="491">
        <v>0</v>
      </c>
      <c r="E844" s="492">
        <v>0</v>
      </c>
      <c r="F844" s="464">
        <v>0</v>
      </c>
      <c r="G844" s="493">
        <v>0</v>
      </c>
      <c r="W844" s="431">
        <v>8880</v>
      </c>
    </row>
    <row r="845" spans="1:23" ht="25.5" hidden="1" x14ac:dyDescent="0.25">
      <c r="A845" s="489" t="s">
        <v>2125</v>
      </c>
      <c r="B845" s="498" t="s">
        <v>2126</v>
      </c>
      <c r="C845" s="491">
        <v>0</v>
      </c>
      <c r="D845" s="491">
        <v>0</v>
      </c>
      <c r="E845" s="492">
        <v>0</v>
      </c>
      <c r="F845" s="464">
        <v>0</v>
      </c>
      <c r="G845" s="493">
        <v>0</v>
      </c>
      <c r="W845" s="431">
        <v>8881</v>
      </c>
    </row>
    <row r="846" spans="1:23" ht="25.5" hidden="1" x14ac:dyDescent="0.25">
      <c r="A846" s="489" t="s">
        <v>2127</v>
      </c>
      <c r="B846" s="499" t="s">
        <v>2128</v>
      </c>
      <c r="C846" s="491">
        <v>0</v>
      </c>
      <c r="D846" s="491">
        <v>0</v>
      </c>
      <c r="E846" s="492">
        <v>0</v>
      </c>
      <c r="F846" s="464">
        <v>0</v>
      </c>
      <c r="G846" s="493">
        <v>0</v>
      </c>
      <c r="W846" s="431">
        <v>8882</v>
      </c>
    </row>
    <row r="847" spans="1:23" ht="25.5" hidden="1" x14ac:dyDescent="0.25">
      <c r="A847" s="489" t="s">
        <v>2129</v>
      </c>
      <c r="B847" s="499" t="s">
        <v>2130</v>
      </c>
      <c r="C847" s="491">
        <v>0</v>
      </c>
      <c r="D847" s="491">
        <v>0</v>
      </c>
      <c r="E847" s="492">
        <v>0</v>
      </c>
      <c r="F847" s="464">
        <v>0</v>
      </c>
      <c r="G847" s="493">
        <v>0</v>
      </c>
      <c r="W847" s="431">
        <v>8883</v>
      </c>
    </row>
    <row r="848" spans="1:23" ht="25.5" hidden="1" x14ac:dyDescent="0.25">
      <c r="A848" s="489" t="s">
        <v>2131</v>
      </c>
      <c r="B848" s="498" t="s">
        <v>2132</v>
      </c>
      <c r="C848" s="491">
        <v>0</v>
      </c>
      <c r="D848" s="491">
        <v>0</v>
      </c>
      <c r="E848" s="492">
        <v>0</v>
      </c>
      <c r="F848" s="464">
        <v>0</v>
      </c>
      <c r="G848" s="493">
        <v>0</v>
      </c>
      <c r="W848" s="431">
        <v>8884</v>
      </c>
    </row>
    <row r="849" spans="1:23" ht="25.5" hidden="1" x14ac:dyDescent="0.25">
      <c r="A849" s="489" t="s">
        <v>2133</v>
      </c>
      <c r="B849" s="498" t="s">
        <v>2134</v>
      </c>
      <c r="C849" s="491">
        <v>0</v>
      </c>
      <c r="D849" s="491">
        <v>0</v>
      </c>
      <c r="E849" s="492">
        <v>0</v>
      </c>
      <c r="F849" s="464">
        <v>0</v>
      </c>
      <c r="G849" s="493">
        <v>0</v>
      </c>
      <c r="W849" s="431">
        <v>8885</v>
      </c>
    </row>
    <row r="850" spans="1:23" ht="38.25" hidden="1" x14ac:dyDescent="0.25">
      <c r="A850" s="489" t="s">
        <v>2135</v>
      </c>
      <c r="B850" s="499" t="s">
        <v>2136</v>
      </c>
      <c r="C850" s="491">
        <v>0</v>
      </c>
      <c r="D850" s="491">
        <v>0</v>
      </c>
      <c r="E850" s="492">
        <v>0</v>
      </c>
      <c r="F850" s="464">
        <v>0</v>
      </c>
      <c r="G850" s="493">
        <v>0</v>
      </c>
      <c r="W850" s="431">
        <v>8886</v>
      </c>
    </row>
    <row r="851" spans="1:23" ht="76.5" hidden="1" x14ac:dyDescent="0.25">
      <c r="A851" s="489" t="s">
        <v>2137</v>
      </c>
      <c r="B851" s="499" t="s">
        <v>2138</v>
      </c>
      <c r="C851" s="491">
        <v>0</v>
      </c>
      <c r="D851" s="491">
        <v>0</v>
      </c>
      <c r="E851" s="492">
        <v>0</v>
      </c>
      <c r="F851" s="464">
        <v>0</v>
      </c>
      <c r="G851" s="493">
        <v>0</v>
      </c>
      <c r="W851" s="431">
        <v>8887</v>
      </c>
    </row>
    <row r="852" spans="1:23" ht="25.5" hidden="1" x14ac:dyDescent="0.25">
      <c r="A852" s="489" t="s">
        <v>2139</v>
      </c>
      <c r="B852" s="499" t="s">
        <v>2140</v>
      </c>
      <c r="C852" s="491">
        <v>0</v>
      </c>
      <c r="D852" s="491">
        <v>0</v>
      </c>
      <c r="E852" s="492">
        <v>0</v>
      </c>
      <c r="F852" s="464">
        <v>0</v>
      </c>
      <c r="G852" s="493">
        <v>0</v>
      </c>
      <c r="W852" s="431">
        <v>8888</v>
      </c>
    </row>
    <row r="853" spans="1:23" ht="25.5" hidden="1" x14ac:dyDescent="0.25">
      <c r="A853" s="489" t="s">
        <v>2141</v>
      </c>
      <c r="B853" s="498" t="s">
        <v>2142</v>
      </c>
      <c r="C853" s="491">
        <v>0</v>
      </c>
      <c r="D853" s="491">
        <v>0</v>
      </c>
      <c r="E853" s="492">
        <v>0</v>
      </c>
      <c r="F853" s="464">
        <v>0</v>
      </c>
      <c r="G853" s="493">
        <v>0</v>
      </c>
      <c r="W853" s="431">
        <v>8889</v>
      </c>
    </row>
    <row r="854" spans="1:23" ht="38.25" hidden="1" x14ac:dyDescent="0.25">
      <c r="A854" s="489" t="s">
        <v>2143</v>
      </c>
      <c r="B854" s="498" t="s">
        <v>2144</v>
      </c>
      <c r="C854" s="491">
        <v>0</v>
      </c>
      <c r="D854" s="491">
        <v>0</v>
      </c>
      <c r="E854" s="492">
        <v>0</v>
      </c>
      <c r="F854" s="464">
        <v>0</v>
      </c>
      <c r="G854" s="493">
        <v>0</v>
      </c>
      <c r="W854" s="431">
        <v>8890</v>
      </c>
    </row>
    <row r="855" spans="1:23" ht="25.5" hidden="1" x14ac:dyDescent="0.25">
      <c r="A855" s="489" t="s">
        <v>2145</v>
      </c>
      <c r="B855" s="497" t="s">
        <v>2146</v>
      </c>
      <c r="C855" s="491">
        <v>0</v>
      </c>
      <c r="D855" s="491">
        <v>0</v>
      </c>
      <c r="E855" s="492">
        <v>0</v>
      </c>
      <c r="F855" s="464">
        <v>0</v>
      </c>
      <c r="G855" s="493">
        <v>0</v>
      </c>
      <c r="W855" s="431">
        <v>8891</v>
      </c>
    </row>
    <row r="856" spans="1:23" ht="25.5" hidden="1" x14ac:dyDescent="0.25">
      <c r="A856" s="489" t="s">
        <v>2147</v>
      </c>
      <c r="B856" s="498" t="s">
        <v>2148</v>
      </c>
      <c r="C856" s="491">
        <v>0</v>
      </c>
      <c r="D856" s="491">
        <v>0</v>
      </c>
      <c r="E856" s="492">
        <v>0</v>
      </c>
      <c r="F856" s="464">
        <v>0</v>
      </c>
      <c r="G856" s="493">
        <v>0</v>
      </c>
      <c r="W856" s="431">
        <v>8892</v>
      </c>
    </row>
    <row r="857" spans="1:23" ht="51" hidden="1" x14ac:dyDescent="0.25">
      <c r="A857" s="489" t="s">
        <v>2149</v>
      </c>
      <c r="B857" s="498" t="s">
        <v>2150</v>
      </c>
      <c r="C857" s="491">
        <v>0</v>
      </c>
      <c r="D857" s="491">
        <v>0</v>
      </c>
      <c r="E857" s="492">
        <v>0</v>
      </c>
      <c r="F857" s="464">
        <v>0</v>
      </c>
      <c r="G857" s="493">
        <v>0</v>
      </c>
      <c r="W857" s="431">
        <v>8893</v>
      </c>
    </row>
    <row r="858" spans="1:23" ht="38.25" hidden="1" x14ac:dyDescent="0.25">
      <c r="A858" s="489" t="s">
        <v>2151</v>
      </c>
      <c r="B858" s="498" t="s">
        <v>2152</v>
      </c>
      <c r="C858" s="491">
        <v>0</v>
      </c>
      <c r="D858" s="491">
        <v>0</v>
      </c>
      <c r="E858" s="492">
        <v>0</v>
      </c>
      <c r="F858" s="464">
        <v>0</v>
      </c>
      <c r="G858" s="493">
        <v>0</v>
      </c>
      <c r="W858" s="431">
        <v>8894</v>
      </c>
    </row>
    <row r="859" spans="1:23" ht="63.75" hidden="1" x14ac:dyDescent="0.25">
      <c r="A859" s="489" t="s">
        <v>2153</v>
      </c>
      <c r="B859" s="499" t="s">
        <v>2154</v>
      </c>
      <c r="C859" s="491">
        <v>0</v>
      </c>
      <c r="D859" s="491">
        <v>0</v>
      </c>
      <c r="E859" s="492">
        <v>0</v>
      </c>
      <c r="F859" s="464">
        <v>0</v>
      </c>
      <c r="G859" s="493">
        <v>0</v>
      </c>
      <c r="W859" s="431">
        <v>8895</v>
      </c>
    </row>
    <row r="860" spans="1:23" ht="63.75" hidden="1" x14ac:dyDescent="0.25">
      <c r="A860" s="489" t="s">
        <v>2155</v>
      </c>
      <c r="B860" s="499" t="s">
        <v>2156</v>
      </c>
      <c r="C860" s="491">
        <v>0</v>
      </c>
      <c r="D860" s="491">
        <v>0</v>
      </c>
      <c r="E860" s="492">
        <v>0</v>
      </c>
      <c r="F860" s="464">
        <v>0</v>
      </c>
      <c r="G860" s="493">
        <v>0</v>
      </c>
      <c r="W860" s="431">
        <v>8896</v>
      </c>
    </row>
    <row r="861" spans="1:23" ht="89.25" hidden="1" x14ac:dyDescent="0.25">
      <c r="A861" s="489" t="s">
        <v>2157</v>
      </c>
      <c r="B861" s="499" t="s">
        <v>2158</v>
      </c>
      <c r="C861" s="491">
        <v>0</v>
      </c>
      <c r="D861" s="491">
        <v>0</v>
      </c>
      <c r="E861" s="492">
        <v>0</v>
      </c>
      <c r="F861" s="464">
        <v>0</v>
      </c>
      <c r="G861" s="493">
        <v>0</v>
      </c>
      <c r="W861" s="431">
        <v>8897</v>
      </c>
    </row>
    <row r="862" spans="1:23" ht="89.25" hidden="1" x14ac:dyDescent="0.25">
      <c r="A862" s="489" t="s">
        <v>2159</v>
      </c>
      <c r="B862" s="499" t="s">
        <v>2160</v>
      </c>
      <c r="C862" s="491">
        <v>0</v>
      </c>
      <c r="D862" s="491">
        <v>0</v>
      </c>
      <c r="E862" s="492">
        <v>0</v>
      </c>
      <c r="F862" s="464">
        <v>0</v>
      </c>
      <c r="G862" s="493">
        <v>0</v>
      </c>
      <c r="W862" s="431">
        <v>8898</v>
      </c>
    </row>
    <row r="863" spans="1:23" ht="25.5" hidden="1" x14ac:dyDescent="0.25">
      <c r="A863" s="489" t="s">
        <v>2161</v>
      </c>
      <c r="B863" s="497" t="s">
        <v>2162</v>
      </c>
      <c r="C863" s="491">
        <v>0</v>
      </c>
      <c r="D863" s="491">
        <v>0</v>
      </c>
      <c r="E863" s="492">
        <v>0</v>
      </c>
      <c r="F863" s="464">
        <v>0</v>
      </c>
      <c r="G863" s="493">
        <v>0</v>
      </c>
      <c r="W863" s="431">
        <v>8899</v>
      </c>
    </row>
    <row r="864" spans="1:23" ht="25.5" hidden="1" x14ac:dyDescent="0.25">
      <c r="A864" s="489" t="s">
        <v>2163</v>
      </c>
      <c r="B864" s="498" t="s">
        <v>2164</v>
      </c>
      <c r="C864" s="491">
        <v>0</v>
      </c>
      <c r="D864" s="491">
        <v>0</v>
      </c>
      <c r="E864" s="492">
        <v>0</v>
      </c>
      <c r="F864" s="464">
        <v>0</v>
      </c>
      <c r="G864" s="493">
        <v>0</v>
      </c>
      <c r="W864" s="431">
        <v>8900</v>
      </c>
    </row>
    <row r="865" spans="1:23" ht="51" hidden="1" x14ac:dyDescent="0.25">
      <c r="A865" s="489" t="s">
        <v>2165</v>
      </c>
      <c r="B865" s="498" t="s">
        <v>2166</v>
      </c>
      <c r="C865" s="491">
        <v>0</v>
      </c>
      <c r="D865" s="491">
        <v>0</v>
      </c>
      <c r="E865" s="492">
        <v>0</v>
      </c>
      <c r="F865" s="464">
        <v>0</v>
      </c>
      <c r="G865" s="493">
        <v>0</v>
      </c>
      <c r="W865" s="431">
        <v>8901</v>
      </c>
    </row>
    <row r="866" spans="1:23" ht="63.75" hidden="1" x14ac:dyDescent="0.25">
      <c r="A866" s="489" t="s">
        <v>2167</v>
      </c>
      <c r="B866" s="499" t="s">
        <v>2168</v>
      </c>
      <c r="C866" s="491">
        <v>0</v>
      </c>
      <c r="D866" s="491">
        <v>0</v>
      </c>
      <c r="E866" s="492">
        <v>0</v>
      </c>
      <c r="F866" s="464">
        <v>0</v>
      </c>
      <c r="G866" s="493">
        <v>0</v>
      </c>
      <c r="W866" s="431">
        <v>8902</v>
      </c>
    </row>
    <row r="867" spans="1:23" ht="63.75" hidden="1" x14ac:dyDescent="0.25">
      <c r="A867" s="489" t="s">
        <v>2169</v>
      </c>
      <c r="B867" s="499" t="s">
        <v>2170</v>
      </c>
      <c r="C867" s="491">
        <v>0</v>
      </c>
      <c r="D867" s="491">
        <v>0</v>
      </c>
      <c r="E867" s="492">
        <v>0</v>
      </c>
      <c r="F867" s="464">
        <v>0</v>
      </c>
      <c r="G867" s="493">
        <v>0</v>
      </c>
      <c r="W867" s="431">
        <v>8903</v>
      </c>
    </row>
    <row r="868" spans="1:23" ht="25.5" hidden="1" x14ac:dyDescent="0.25">
      <c r="A868" s="489" t="s">
        <v>2171</v>
      </c>
      <c r="B868" s="497" t="s">
        <v>2172</v>
      </c>
      <c r="C868" s="491">
        <v>0</v>
      </c>
      <c r="D868" s="491">
        <v>0</v>
      </c>
      <c r="E868" s="492">
        <v>0</v>
      </c>
      <c r="F868" s="464">
        <v>0</v>
      </c>
      <c r="G868" s="493">
        <v>0</v>
      </c>
      <c r="W868" s="431">
        <v>8904</v>
      </c>
    </row>
    <row r="869" spans="1:23" ht="63.75" hidden="1" x14ac:dyDescent="0.25">
      <c r="A869" s="489" t="s">
        <v>2173</v>
      </c>
      <c r="B869" s="498" t="s">
        <v>2174</v>
      </c>
      <c r="C869" s="491">
        <v>0</v>
      </c>
      <c r="D869" s="491">
        <v>0</v>
      </c>
      <c r="E869" s="492">
        <v>0</v>
      </c>
      <c r="F869" s="464">
        <v>0</v>
      </c>
      <c r="G869" s="493">
        <v>0</v>
      </c>
      <c r="W869" s="431">
        <v>8905</v>
      </c>
    </row>
    <row r="870" spans="1:23" ht="38.25" hidden="1" x14ac:dyDescent="0.25">
      <c r="A870" s="489" t="s">
        <v>2175</v>
      </c>
      <c r="B870" s="497" t="s">
        <v>2176</v>
      </c>
      <c r="C870" s="491">
        <v>0</v>
      </c>
      <c r="D870" s="491">
        <v>0</v>
      </c>
      <c r="E870" s="492">
        <v>0</v>
      </c>
      <c r="F870" s="464">
        <v>0</v>
      </c>
      <c r="G870" s="493">
        <v>0</v>
      </c>
      <c r="W870" s="431">
        <v>8906</v>
      </c>
    </row>
    <row r="871" spans="1:23" ht="38.25" hidden="1" x14ac:dyDescent="0.25">
      <c r="A871" s="489" t="s">
        <v>2177</v>
      </c>
      <c r="B871" s="498" t="s">
        <v>2178</v>
      </c>
      <c r="C871" s="491">
        <v>0</v>
      </c>
      <c r="D871" s="491">
        <v>0</v>
      </c>
      <c r="E871" s="492">
        <v>0</v>
      </c>
      <c r="F871" s="464">
        <v>0</v>
      </c>
      <c r="G871" s="493">
        <v>0</v>
      </c>
      <c r="W871" s="431">
        <v>8907</v>
      </c>
    </row>
    <row r="872" spans="1:23" ht="63.75" hidden="1" x14ac:dyDescent="0.25">
      <c r="A872" s="489" t="s">
        <v>2179</v>
      </c>
      <c r="B872" s="499" t="s">
        <v>2180</v>
      </c>
      <c r="C872" s="491">
        <v>0</v>
      </c>
      <c r="D872" s="491">
        <v>0</v>
      </c>
      <c r="E872" s="492">
        <v>0</v>
      </c>
      <c r="F872" s="464">
        <v>0</v>
      </c>
      <c r="G872" s="493">
        <v>0</v>
      </c>
      <c r="W872" s="431">
        <v>8908</v>
      </c>
    </row>
    <row r="873" spans="1:23" ht="51" hidden="1" x14ac:dyDescent="0.25">
      <c r="A873" s="489" t="s">
        <v>2181</v>
      </c>
      <c r="B873" s="499" t="s">
        <v>2182</v>
      </c>
      <c r="C873" s="491">
        <v>0</v>
      </c>
      <c r="D873" s="491">
        <v>0</v>
      </c>
      <c r="E873" s="492">
        <v>0</v>
      </c>
      <c r="F873" s="464">
        <v>0</v>
      </c>
      <c r="G873" s="493">
        <v>0</v>
      </c>
      <c r="W873" s="431">
        <v>8909</v>
      </c>
    </row>
    <row r="874" spans="1:23" ht="114.75" hidden="1" x14ac:dyDescent="0.25">
      <c r="A874" s="489" t="s">
        <v>2183</v>
      </c>
      <c r="B874" s="499" t="s">
        <v>2184</v>
      </c>
      <c r="C874" s="491">
        <v>0</v>
      </c>
      <c r="D874" s="491">
        <v>0</v>
      </c>
      <c r="E874" s="492">
        <v>0</v>
      </c>
      <c r="F874" s="464">
        <v>0</v>
      </c>
      <c r="G874" s="493">
        <v>0</v>
      </c>
      <c r="W874" s="431">
        <v>8910</v>
      </c>
    </row>
    <row r="875" spans="1:23" ht="102" hidden="1" x14ac:dyDescent="0.25">
      <c r="A875" s="489" t="s">
        <v>2185</v>
      </c>
      <c r="B875" s="499" t="s">
        <v>2186</v>
      </c>
      <c r="C875" s="491">
        <v>0</v>
      </c>
      <c r="D875" s="491">
        <v>0</v>
      </c>
      <c r="E875" s="492">
        <v>0</v>
      </c>
      <c r="F875" s="464">
        <v>0</v>
      </c>
      <c r="G875" s="493">
        <v>0</v>
      </c>
      <c r="W875" s="431">
        <v>8911</v>
      </c>
    </row>
    <row r="876" spans="1:23" ht="38.25" hidden="1" x14ac:dyDescent="0.25">
      <c r="A876" s="489" t="s">
        <v>2187</v>
      </c>
      <c r="B876" s="498" t="s">
        <v>2188</v>
      </c>
      <c r="C876" s="491">
        <v>0</v>
      </c>
      <c r="D876" s="491">
        <v>0</v>
      </c>
      <c r="E876" s="492">
        <v>0</v>
      </c>
      <c r="F876" s="464">
        <v>0</v>
      </c>
      <c r="G876" s="493">
        <v>0</v>
      </c>
      <c r="W876" s="431">
        <v>8912</v>
      </c>
    </row>
    <row r="877" spans="1:23" ht="38.25" hidden="1" x14ac:dyDescent="0.25">
      <c r="A877" s="489" t="s">
        <v>2189</v>
      </c>
      <c r="B877" s="498" t="s">
        <v>2190</v>
      </c>
      <c r="C877" s="491">
        <v>0</v>
      </c>
      <c r="D877" s="491">
        <v>0</v>
      </c>
      <c r="E877" s="492">
        <v>0</v>
      </c>
      <c r="F877" s="464">
        <v>0</v>
      </c>
      <c r="G877" s="493">
        <v>0</v>
      </c>
      <c r="W877" s="431">
        <v>8913</v>
      </c>
    </row>
    <row r="878" spans="1:23" ht="38.25" hidden="1" x14ac:dyDescent="0.25">
      <c r="A878" s="489" t="s">
        <v>2191</v>
      </c>
      <c r="B878" s="498" t="s">
        <v>2192</v>
      </c>
      <c r="C878" s="491">
        <v>0</v>
      </c>
      <c r="D878" s="491">
        <v>0</v>
      </c>
      <c r="E878" s="492">
        <v>0</v>
      </c>
      <c r="F878" s="464">
        <v>0</v>
      </c>
      <c r="G878" s="493">
        <v>0</v>
      </c>
      <c r="W878" s="431">
        <v>8914</v>
      </c>
    </row>
    <row r="879" spans="1:23" ht="89.25" hidden="1" x14ac:dyDescent="0.25">
      <c r="A879" s="489" t="s">
        <v>2193</v>
      </c>
      <c r="B879" s="499" t="s">
        <v>2194</v>
      </c>
      <c r="C879" s="491">
        <v>0</v>
      </c>
      <c r="D879" s="491">
        <v>0</v>
      </c>
      <c r="E879" s="492">
        <v>0</v>
      </c>
      <c r="F879" s="464">
        <v>0</v>
      </c>
      <c r="G879" s="493">
        <v>0</v>
      </c>
      <c r="W879" s="431">
        <v>8915</v>
      </c>
    </row>
    <row r="880" spans="1:23" ht="89.25" hidden="1" x14ac:dyDescent="0.25">
      <c r="A880" s="489" t="s">
        <v>2195</v>
      </c>
      <c r="B880" s="499" t="s">
        <v>2196</v>
      </c>
      <c r="C880" s="491">
        <v>0</v>
      </c>
      <c r="D880" s="491">
        <v>0</v>
      </c>
      <c r="E880" s="492">
        <v>0</v>
      </c>
      <c r="F880" s="464">
        <v>0</v>
      </c>
      <c r="G880" s="493">
        <v>0</v>
      </c>
      <c r="W880" s="431">
        <v>8916</v>
      </c>
    </row>
    <row r="881" spans="1:23" s="469" customFormat="1" x14ac:dyDescent="0.25">
      <c r="A881" s="483" t="s">
        <v>2197</v>
      </c>
      <c r="B881" s="494" t="s">
        <v>2198</v>
      </c>
      <c r="C881" s="488">
        <v>29159</v>
      </c>
      <c r="D881" s="488">
        <v>0</v>
      </c>
      <c r="E881" s="485">
        <v>0</v>
      </c>
      <c r="F881" s="457">
        <v>0</v>
      </c>
      <c r="G881" s="493">
        <v>0</v>
      </c>
      <c r="W881" s="469">
        <v>8917</v>
      </c>
    </row>
    <row r="882" spans="1:23" s="469" customFormat="1" x14ac:dyDescent="0.25">
      <c r="A882" s="483" t="s">
        <v>41</v>
      </c>
      <c r="B882" s="495" t="s">
        <v>2199</v>
      </c>
      <c r="C882" s="488">
        <v>29159</v>
      </c>
      <c r="D882" s="488">
        <v>0</v>
      </c>
      <c r="E882" s="485">
        <v>0</v>
      </c>
      <c r="F882" s="457">
        <v>0</v>
      </c>
      <c r="G882" s="493">
        <v>0</v>
      </c>
      <c r="W882" s="469">
        <v>8918</v>
      </c>
    </row>
    <row r="883" spans="1:23" x14ac:dyDescent="0.25">
      <c r="A883" s="489" t="s">
        <v>2200</v>
      </c>
      <c r="B883" s="496" t="s">
        <v>2199</v>
      </c>
      <c r="C883" s="491">
        <v>29159</v>
      </c>
      <c r="D883" s="491">
        <v>0</v>
      </c>
      <c r="E883" s="492">
        <v>0</v>
      </c>
      <c r="F883" s="464">
        <v>0</v>
      </c>
      <c r="G883" s="493">
        <v>0</v>
      </c>
      <c r="W883" s="431">
        <v>8919</v>
      </c>
    </row>
    <row r="884" spans="1:23" hidden="1" x14ac:dyDescent="0.25">
      <c r="A884" s="489" t="s">
        <v>2201</v>
      </c>
      <c r="B884" s="497" t="s">
        <v>2202</v>
      </c>
      <c r="C884" s="491">
        <v>0</v>
      </c>
      <c r="D884" s="491">
        <v>0</v>
      </c>
      <c r="E884" s="492">
        <v>0</v>
      </c>
      <c r="F884" s="464">
        <v>0</v>
      </c>
      <c r="G884" s="493">
        <v>0</v>
      </c>
      <c r="W884" s="431">
        <v>8920</v>
      </c>
    </row>
    <row r="885" spans="1:23" hidden="1" x14ac:dyDescent="0.25">
      <c r="A885" s="489" t="s">
        <v>2203</v>
      </c>
      <c r="B885" s="498" t="s">
        <v>2204</v>
      </c>
      <c r="C885" s="491">
        <v>0</v>
      </c>
      <c r="D885" s="491">
        <v>0</v>
      </c>
      <c r="E885" s="492">
        <v>0</v>
      </c>
      <c r="F885" s="464">
        <v>0</v>
      </c>
      <c r="G885" s="493">
        <v>0</v>
      </c>
      <c r="W885" s="431">
        <v>8921</v>
      </c>
    </row>
    <row r="886" spans="1:23" ht="25.5" hidden="1" x14ac:dyDescent="0.25">
      <c r="A886" s="489" t="s">
        <v>2205</v>
      </c>
      <c r="B886" s="498" t="s">
        <v>2206</v>
      </c>
      <c r="C886" s="491">
        <v>0</v>
      </c>
      <c r="D886" s="491">
        <v>0</v>
      </c>
      <c r="E886" s="492">
        <v>0</v>
      </c>
      <c r="F886" s="464">
        <v>0</v>
      </c>
      <c r="G886" s="493">
        <v>0</v>
      </c>
      <c r="W886" s="431">
        <v>8922</v>
      </c>
    </row>
    <row r="887" spans="1:23" hidden="1" x14ac:dyDescent="0.25">
      <c r="A887" s="489" t="s">
        <v>2207</v>
      </c>
      <c r="B887" s="499" t="s">
        <v>2208</v>
      </c>
      <c r="C887" s="491">
        <v>0</v>
      </c>
      <c r="D887" s="491">
        <v>0</v>
      </c>
      <c r="E887" s="492">
        <v>0</v>
      </c>
      <c r="F887" s="464">
        <v>0</v>
      </c>
      <c r="G887" s="493">
        <v>0</v>
      </c>
      <c r="W887" s="431">
        <v>8923</v>
      </c>
    </row>
    <row r="888" spans="1:23" ht="25.5" hidden="1" x14ac:dyDescent="0.25">
      <c r="A888" s="489" t="s">
        <v>2209</v>
      </c>
      <c r="B888" s="499" t="s">
        <v>2210</v>
      </c>
      <c r="C888" s="491">
        <v>0</v>
      </c>
      <c r="D888" s="491">
        <v>0</v>
      </c>
      <c r="E888" s="492">
        <v>0</v>
      </c>
      <c r="F888" s="464">
        <v>0</v>
      </c>
      <c r="G888" s="493">
        <v>0</v>
      </c>
      <c r="W888" s="431">
        <v>8924</v>
      </c>
    </row>
    <row r="889" spans="1:23" hidden="1" x14ac:dyDescent="0.25">
      <c r="A889" s="489" t="s">
        <v>2211</v>
      </c>
      <c r="B889" s="498" t="s">
        <v>2212</v>
      </c>
      <c r="C889" s="491">
        <v>0</v>
      </c>
      <c r="D889" s="491">
        <v>0</v>
      </c>
      <c r="E889" s="492">
        <v>0</v>
      </c>
      <c r="F889" s="464">
        <v>0</v>
      </c>
      <c r="G889" s="493">
        <v>0</v>
      </c>
      <c r="W889" s="431">
        <v>8925</v>
      </c>
    </row>
    <row r="890" spans="1:23" hidden="1" x14ac:dyDescent="0.25">
      <c r="A890" s="489" t="s">
        <v>2213</v>
      </c>
      <c r="B890" s="498" t="s">
        <v>2214</v>
      </c>
      <c r="C890" s="491">
        <v>0</v>
      </c>
      <c r="D890" s="491">
        <v>0</v>
      </c>
      <c r="E890" s="492">
        <v>0</v>
      </c>
      <c r="F890" s="464">
        <v>0</v>
      </c>
      <c r="G890" s="493">
        <v>0</v>
      </c>
      <c r="W890" s="431">
        <v>8926</v>
      </c>
    </row>
    <row r="891" spans="1:23" ht="25.5" hidden="1" x14ac:dyDescent="0.25">
      <c r="A891" s="489" t="s">
        <v>2215</v>
      </c>
      <c r="B891" s="498" t="s">
        <v>2216</v>
      </c>
      <c r="C891" s="491">
        <v>0</v>
      </c>
      <c r="D891" s="491">
        <v>0</v>
      </c>
      <c r="E891" s="492">
        <v>0</v>
      </c>
      <c r="F891" s="464">
        <v>0</v>
      </c>
      <c r="G891" s="493">
        <v>0</v>
      </c>
      <c r="W891" s="431">
        <v>8927</v>
      </c>
    </row>
    <row r="892" spans="1:23" ht="25.5" hidden="1" x14ac:dyDescent="0.25">
      <c r="A892" s="489" t="s">
        <v>2217</v>
      </c>
      <c r="B892" s="498" t="s">
        <v>2218</v>
      </c>
      <c r="C892" s="491">
        <v>0</v>
      </c>
      <c r="D892" s="491">
        <v>0</v>
      </c>
      <c r="E892" s="492">
        <v>0</v>
      </c>
      <c r="F892" s="464">
        <v>0</v>
      </c>
      <c r="G892" s="493">
        <v>0</v>
      </c>
      <c r="W892" s="431">
        <v>8928</v>
      </c>
    </row>
    <row r="893" spans="1:23" x14ac:dyDescent="0.25">
      <c r="A893" s="489" t="s">
        <v>2219</v>
      </c>
      <c r="B893" s="497" t="s">
        <v>2220</v>
      </c>
      <c r="C893" s="491">
        <v>29159</v>
      </c>
      <c r="D893" s="491">
        <v>0</v>
      </c>
      <c r="E893" s="492">
        <v>0</v>
      </c>
      <c r="F893" s="464">
        <v>0</v>
      </c>
      <c r="G893" s="493">
        <v>0</v>
      </c>
      <c r="W893" s="431">
        <v>8929</v>
      </c>
    </row>
    <row r="894" spans="1:23" hidden="1" x14ac:dyDescent="0.25">
      <c r="A894" s="489" t="s">
        <v>2221</v>
      </c>
      <c r="B894" s="498" t="s">
        <v>2222</v>
      </c>
      <c r="C894" s="491">
        <v>0</v>
      </c>
      <c r="D894" s="491">
        <v>0</v>
      </c>
      <c r="E894" s="492">
        <v>0</v>
      </c>
      <c r="F894" s="464">
        <v>0</v>
      </c>
      <c r="G894" s="493">
        <v>0</v>
      </c>
      <c r="W894" s="431">
        <v>8930</v>
      </c>
    </row>
    <row r="895" spans="1:23" hidden="1" x14ac:dyDescent="0.25">
      <c r="A895" s="489" t="s">
        <v>2223</v>
      </c>
      <c r="B895" s="499" t="s">
        <v>2224</v>
      </c>
      <c r="C895" s="491">
        <v>0</v>
      </c>
      <c r="D895" s="491">
        <v>0</v>
      </c>
      <c r="E895" s="492">
        <v>0</v>
      </c>
      <c r="F895" s="464">
        <v>0</v>
      </c>
      <c r="G895" s="493">
        <v>0</v>
      </c>
      <c r="W895" s="431">
        <v>8931</v>
      </c>
    </row>
    <row r="896" spans="1:23" hidden="1" x14ac:dyDescent="0.25">
      <c r="A896" s="489" t="s">
        <v>2225</v>
      </c>
      <c r="B896" s="499" t="s">
        <v>2226</v>
      </c>
      <c r="C896" s="491">
        <v>0</v>
      </c>
      <c r="D896" s="491">
        <v>0</v>
      </c>
      <c r="E896" s="492">
        <v>0</v>
      </c>
      <c r="F896" s="464">
        <v>0</v>
      </c>
      <c r="G896" s="493">
        <v>0</v>
      </c>
      <c r="W896" s="431">
        <v>8932</v>
      </c>
    </row>
    <row r="897" spans="1:23" hidden="1" x14ac:dyDescent="0.25">
      <c r="A897" s="489" t="s">
        <v>2227</v>
      </c>
      <c r="B897" s="499" t="s">
        <v>2228</v>
      </c>
      <c r="C897" s="491">
        <v>0</v>
      </c>
      <c r="D897" s="491">
        <v>0</v>
      </c>
      <c r="E897" s="492">
        <v>0</v>
      </c>
      <c r="F897" s="464">
        <v>0</v>
      </c>
      <c r="G897" s="493">
        <v>0</v>
      </c>
      <c r="W897" s="431">
        <v>8933</v>
      </c>
    </row>
    <row r="898" spans="1:23" hidden="1" x14ac:dyDescent="0.25">
      <c r="A898" s="489" t="s">
        <v>2229</v>
      </c>
      <c r="B898" s="499" t="s">
        <v>2230</v>
      </c>
      <c r="C898" s="491">
        <v>0</v>
      </c>
      <c r="D898" s="491">
        <v>0</v>
      </c>
      <c r="E898" s="492">
        <v>0</v>
      </c>
      <c r="F898" s="464">
        <v>0</v>
      </c>
      <c r="G898" s="493">
        <v>0</v>
      </c>
      <c r="W898" s="431">
        <v>8934</v>
      </c>
    </row>
    <row r="899" spans="1:23" hidden="1" x14ac:dyDescent="0.25">
      <c r="A899" s="489" t="s">
        <v>2231</v>
      </c>
      <c r="B899" s="499" t="s">
        <v>2232</v>
      </c>
      <c r="C899" s="491">
        <v>0</v>
      </c>
      <c r="D899" s="491">
        <v>0</v>
      </c>
      <c r="E899" s="492">
        <v>0</v>
      </c>
      <c r="F899" s="464">
        <v>0</v>
      </c>
      <c r="G899" s="493">
        <v>0</v>
      </c>
      <c r="W899" s="431">
        <v>8935</v>
      </c>
    </row>
    <row r="900" spans="1:23" hidden="1" x14ac:dyDescent="0.25">
      <c r="A900" s="489" t="s">
        <v>2233</v>
      </c>
      <c r="B900" s="499" t="s">
        <v>2234</v>
      </c>
      <c r="C900" s="491">
        <v>0</v>
      </c>
      <c r="D900" s="491">
        <v>0</v>
      </c>
      <c r="E900" s="492">
        <v>0</v>
      </c>
      <c r="F900" s="464">
        <v>0</v>
      </c>
      <c r="G900" s="493">
        <v>0</v>
      </c>
      <c r="W900" s="431">
        <v>8936</v>
      </c>
    </row>
    <row r="901" spans="1:23" hidden="1" x14ac:dyDescent="0.25">
      <c r="A901" s="489" t="s">
        <v>2235</v>
      </c>
      <c r="B901" s="499" t="s">
        <v>2236</v>
      </c>
      <c r="C901" s="491">
        <v>0</v>
      </c>
      <c r="D901" s="491">
        <v>0</v>
      </c>
      <c r="E901" s="492">
        <v>0</v>
      </c>
      <c r="F901" s="464">
        <v>0</v>
      </c>
      <c r="G901" s="493">
        <v>0</v>
      </c>
      <c r="W901" s="431">
        <v>8937</v>
      </c>
    </row>
    <row r="902" spans="1:23" hidden="1" x14ac:dyDescent="0.25">
      <c r="A902" s="489" t="s">
        <v>2237</v>
      </c>
      <c r="B902" s="499" t="s">
        <v>2238</v>
      </c>
      <c r="C902" s="491">
        <v>0</v>
      </c>
      <c r="D902" s="491">
        <v>0</v>
      </c>
      <c r="E902" s="492">
        <v>0</v>
      </c>
      <c r="F902" s="464">
        <v>0</v>
      </c>
      <c r="G902" s="493">
        <v>0</v>
      </c>
      <c r="W902" s="431">
        <v>8938</v>
      </c>
    </row>
    <row r="903" spans="1:23" hidden="1" x14ac:dyDescent="0.25">
      <c r="A903" s="489" t="s">
        <v>2239</v>
      </c>
      <c r="B903" s="499" t="s">
        <v>2240</v>
      </c>
      <c r="C903" s="491">
        <v>0</v>
      </c>
      <c r="D903" s="491">
        <v>0</v>
      </c>
      <c r="E903" s="492">
        <v>0</v>
      </c>
      <c r="F903" s="464">
        <v>0</v>
      </c>
      <c r="G903" s="493">
        <v>0</v>
      </c>
      <c r="W903" s="431">
        <v>8939</v>
      </c>
    </row>
    <row r="904" spans="1:23" hidden="1" x14ac:dyDescent="0.25">
      <c r="A904" s="489" t="s">
        <v>2241</v>
      </c>
      <c r="B904" s="498" t="s">
        <v>2242</v>
      </c>
      <c r="C904" s="491">
        <v>0</v>
      </c>
      <c r="D904" s="491">
        <v>0</v>
      </c>
      <c r="E904" s="492">
        <v>0</v>
      </c>
      <c r="F904" s="464">
        <v>0</v>
      </c>
      <c r="G904" s="493">
        <v>0</v>
      </c>
      <c r="W904" s="431">
        <v>8940</v>
      </c>
    </row>
    <row r="905" spans="1:23" hidden="1" x14ac:dyDescent="0.25">
      <c r="A905" s="489" t="s">
        <v>2243</v>
      </c>
      <c r="B905" s="498" t="s">
        <v>2244</v>
      </c>
      <c r="C905" s="491">
        <v>0</v>
      </c>
      <c r="D905" s="491">
        <v>0</v>
      </c>
      <c r="E905" s="492">
        <v>0</v>
      </c>
      <c r="F905" s="464">
        <v>0</v>
      </c>
      <c r="G905" s="493">
        <v>0</v>
      </c>
      <c r="W905" s="431">
        <v>8941</v>
      </c>
    </row>
    <row r="906" spans="1:23" hidden="1" x14ac:dyDescent="0.25">
      <c r="A906" s="489" t="s">
        <v>2245</v>
      </c>
      <c r="B906" s="499" t="s">
        <v>2246</v>
      </c>
      <c r="C906" s="491">
        <v>0</v>
      </c>
      <c r="D906" s="491">
        <v>0</v>
      </c>
      <c r="E906" s="492">
        <v>0</v>
      </c>
      <c r="F906" s="464">
        <v>0</v>
      </c>
      <c r="G906" s="493">
        <v>0</v>
      </c>
      <c r="W906" s="431">
        <v>8942</v>
      </c>
    </row>
    <row r="907" spans="1:23" hidden="1" x14ac:dyDescent="0.25">
      <c r="A907" s="489" t="s">
        <v>2247</v>
      </c>
      <c r="B907" s="499" t="s">
        <v>2248</v>
      </c>
      <c r="C907" s="491">
        <v>0</v>
      </c>
      <c r="D907" s="491">
        <v>0</v>
      </c>
      <c r="E907" s="492">
        <v>0</v>
      </c>
      <c r="F907" s="464">
        <v>0</v>
      </c>
      <c r="G907" s="493">
        <v>0</v>
      </c>
      <c r="W907" s="431">
        <v>8943</v>
      </c>
    </row>
    <row r="908" spans="1:23" hidden="1" x14ac:dyDescent="0.25">
      <c r="A908" s="489" t="s">
        <v>2249</v>
      </c>
      <c r="B908" s="499" t="s">
        <v>2250</v>
      </c>
      <c r="C908" s="491">
        <v>0</v>
      </c>
      <c r="D908" s="491">
        <v>0</v>
      </c>
      <c r="E908" s="492">
        <v>0</v>
      </c>
      <c r="F908" s="464">
        <v>0</v>
      </c>
      <c r="G908" s="493">
        <v>0</v>
      </c>
      <c r="W908" s="431">
        <v>8944</v>
      </c>
    </row>
    <row r="909" spans="1:23" hidden="1" x14ac:dyDescent="0.25">
      <c r="A909" s="489" t="s">
        <v>2251</v>
      </c>
      <c r="B909" s="499" t="s">
        <v>2252</v>
      </c>
      <c r="C909" s="491">
        <v>0</v>
      </c>
      <c r="D909" s="491">
        <v>0</v>
      </c>
      <c r="E909" s="492">
        <v>0</v>
      </c>
      <c r="F909" s="464">
        <v>0</v>
      </c>
      <c r="G909" s="493">
        <v>0</v>
      </c>
      <c r="W909" s="431">
        <v>8945</v>
      </c>
    </row>
    <row r="910" spans="1:23" hidden="1" x14ac:dyDescent="0.25">
      <c r="A910" s="489" t="s">
        <v>2253</v>
      </c>
      <c r="B910" s="499" t="s">
        <v>2254</v>
      </c>
      <c r="C910" s="491">
        <v>0</v>
      </c>
      <c r="D910" s="491">
        <v>0</v>
      </c>
      <c r="E910" s="492">
        <v>0</v>
      </c>
      <c r="F910" s="464">
        <v>0</v>
      </c>
      <c r="G910" s="493">
        <v>0</v>
      </c>
      <c r="W910" s="431">
        <v>8946</v>
      </c>
    </row>
    <row r="911" spans="1:23" hidden="1" x14ac:dyDescent="0.25">
      <c r="A911" s="489" t="s">
        <v>2255</v>
      </c>
      <c r="B911" s="499" t="s">
        <v>2256</v>
      </c>
      <c r="C911" s="491">
        <v>0</v>
      </c>
      <c r="D911" s="491">
        <v>0</v>
      </c>
      <c r="E911" s="492">
        <v>0</v>
      </c>
      <c r="F911" s="464">
        <v>0</v>
      </c>
      <c r="G911" s="493">
        <v>0</v>
      </c>
      <c r="W911" s="431">
        <v>8947</v>
      </c>
    </row>
    <row r="912" spans="1:23" hidden="1" x14ac:dyDescent="0.25">
      <c r="A912" s="489" t="s">
        <v>2257</v>
      </c>
      <c r="B912" s="499" t="s">
        <v>2258</v>
      </c>
      <c r="C912" s="491">
        <v>0</v>
      </c>
      <c r="D912" s="491">
        <v>0</v>
      </c>
      <c r="E912" s="492">
        <v>0</v>
      </c>
      <c r="F912" s="464">
        <v>0</v>
      </c>
      <c r="G912" s="493">
        <v>0</v>
      </c>
      <c r="W912" s="431">
        <v>8948</v>
      </c>
    </row>
    <row r="913" spans="1:23" hidden="1" x14ac:dyDescent="0.25">
      <c r="A913" s="489" t="s">
        <v>2259</v>
      </c>
      <c r="B913" s="499" t="s">
        <v>2260</v>
      </c>
      <c r="C913" s="491">
        <v>0</v>
      </c>
      <c r="D913" s="491">
        <v>0</v>
      </c>
      <c r="E913" s="492">
        <v>0</v>
      </c>
      <c r="F913" s="464">
        <v>0</v>
      </c>
      <c r="G913" s="493">
        <v>0</v>
      </c>
      <c r="W913" s="431">
        <v>8949</v>
      </c>
    </row>
    <row r="914" spans="1:23" hidden="1" x14ac:dyDescent="0.25">
      <c r="A914" s="489" t="s">
        <v>2261</v>
      </c>
      <c r="B914" s="499" t="s">
        <v>2262</v>
      </c>
      <c r="C914" s="491">
        <v>0</v>
      </c>
      <c r="D914" s="491">
        <v>0</v>
      </c>
      <c r="E914" s="492">
        <v>0</v>
      </c>
      <c r="F914" s="464">
        <v>0</v>
      </c>
      <c r="G914" s="493">
        <v>0</v>
      </c>
      <c r="W914" s="431">
        <v>8950</v>
      </c>
    </row>
    <row r="915" spans="1:23" x14ac:dyDescent="0.25">
      <c r="A915" s="489" t="s">
        <v>2263</v>
      </c>
      <c r="B915" s="498" t="s">
        <v>2264</v>
      </c>
      <c r="C915" s="491">
        <v>29159</v>
      </c>
      <c r="D915" s="491">
        <v>0</v>
      </c>
      <c r="E915" s="492">
        <v>0</v>
      </c>
      <c r="F915" s="464">
        <v>0</v>
      </c>
      <c r="G915" s="493">
        <v>0</v>
      </c>
      <c r="W915" s="431">
        <v>8951</v>
      </c>
    </row>
    <row r="916" spans="1:23" hidden="1" x14ac:dyDescent="0.25">
      <c r="A916" s="489" t="s">
        <v>2265</v>
      </c>
      <c r="B916" s="498" t="s">
        <v>2266</v>
      </c>
      <c r="C916" s="491">
        <v>0</v>
      </c>
      <c r="D916" s="491">
        <v>0</v>
      </c>
      <c r="E916" s="492">
        <v>0</v>
      </c>
      <c r="F916" s="464">
        <v>0</v>
      </c>
      <c r="G916" s="493">
        <v>0</v>
      </c>
      <c r="W916" s="431">
        <v>8952</v>
      </c>
    </row>
    <row r="917" spans="1:23" hidden="1" x14ac:dyDescent="0.25">
      <c r="A917" s="489" t="s">
        <v>2267</v>
      </c>
      <c r="B917" s="498" t="s">
        <v>2268</v>
      </c>
      <c r="C917" s="491">
        <v>0</v>
      </c>
      <c r="D917" s="491">
        <v>0</v>
      </c>
      <c r="E917" s="492">
        <v>0</v>
      </c>
      <c r="F917" s="464">
        <v>0</v>
      </c>
      <c r="G917" s="493">
        <v>0</v>
      </c>
      <c r="W917" s="431">
        <v>8953</v>
      </c>
    </row>
    <row r="918" spans="1:23" hidden="1" x14ac:dyDescent="0.25">
      <c r="A918" s="489" t="s">
        <v>2269</v>
      </c>
      <c r="B918" s="499" t="s">
        <v>2270</v>
      </c>
      <c r="C918" s="491">
        <v>0</v>
      </c>
      <c r="D918" s="491">
        <v>0</v>
      </c>
      <c r="E918" s="492">
        <v>0</v>
      </c>
      <c r="F918" s="464">
        <v>0</v>
      </c>
      <c r="G918" s="493">
        <v>0</v>
      </c>
      <c r="W918" s="431">
        <v>8954</v>
      </c>
    </row>
    <row r="919" spans="1:23" hidden="1" x14ac:dyDescent="0.25">
      <c r="A919" s="489" t="s">
        <v>2271</v>
      </c>
      <c r="B919" s="499" t="s">
        <v>2272</v>
      </c>
      <c r="C919" s="491">
        <v>0</v>
      </c>
      <c r="D919" s="491">
        <v>0</v>
      </c>
      <c r="E919" s="492">
        <v>0</v>
      </c>
      <c r="F919" s="464">
        <v>0</v>
      </c>
      <c r="G919" s="493">
        <v>0</v>
      </c>
      <c r="W919" s="431">
        <v>8955</v>
      </c>
    </row>
    <row r="920" spans="1:23" hidden="1" x14ac:dyDescent="0.25">
      <c r="A920" s="489" t="s">
        <v>2273</v>
      </c>
      <c r="B920" s="499" t="s">
        <v>2274</v>
      </c>
      <c r="C920" s="491">
        <v>0</v>
      </c>
      <c r="D920" s="491">
        <v>0</v>
      </c>
      <c r="E920" s="492">
        <v>0</v>
      </c>
      <c r="F920" s="464">
        <v>0</v>
      </c>
      <c r="G920" s="493">
        <v>0</v>
      </c>
      <c r="W920" s="431">
        <v>8956</v>
      </c>
    </row>
    <row r="921" spans="1:23" hidden="1" x14ac:dyDescent="0.25">
      <c r="A921" s="489" t="s">
        <v>2275</v>
      </c>
      <c r="B921" s="498" t="s">
        <v>2276</v>
      </c>
      <c r="C921" s="491">
        <v>0</v>
      </c>
      <c r="D921" s="491">
        <v>0</v>
      </c>
      <c r="E921" s="492">
        <v>0</v>
      </c>
      <c r="F921" s="464">
        <v>0</v>
      </c>
      <c r="G921" s="493">
        <v>0</v>
      </c>
      <c r="W921" s="431">
        <v>8957</v>
      </c>
    </row>
    <row r="922" spans="1:23" s="469" customFormat="1" hidden="1" x14ac:dyDescent="0.25">
      <c r="A922" s="483" t="s">
        <v>44</v>
      </c>
      <c r="B922" s="495" t="s">
        <v>2277</v>
      </c>
      <c r="C922" s="488">
        <v>0</v>
      </c>
      <c r="D922" s="488">
        <v>0</v>
      </c>
      <c r="E922" s="485">
        <v>0</v>
      </c>
      <c r="F922" s="457">
        <v>0</v>
      </c>
      <c r="G922" s="493">
        <v>0</v>
      </c>
      <c r="W922" s="469">
        <v>8958</v>
      </c>
    </row>
    <row r="923" spans="1:23" hidden="1" x14ac:dyDescent="0.25">
      <c r="A923" s="489" t="s">
        <v>2278</v>
      </c>
      <c r="B923" s="496" t="s">
        <v>2277</v>
      </c>
      <c r="C923" s="491">
        <v>0</v>
      </c>
      <c r="D923" s="491">
        <v>0</v>
      </c>
      <c r="E923" s="492">
        <v>0</v>
      </c>
      <c r="F923" s="464">
        <v>0</v>
      </c>
      <c r="G923" s="493">
        <v>0</v>
      </c>
      <c r="W923" s="431">
        <v>8959</v>
      </c>
    </row>
    <row r="924" spans="1:23" hidden="1" x14ac:dyDescent="0.25">
      <c r="A924" s="489" t="s">
        <v>2279</v>
      </c>
      <c r="B924" s="497" t="s">
        <v>2280</v>
      </c>
      <c r="C924" s="491">
        <v>0</v>
      </c>
      <c r="D924" s="491">
        <v>0</v>
      </c>
      <c r="E924" s="492">
        <v>0</v>
      </c>
      <c r="F924" s="464">
        <v>0</v>
      </c>
      <c r="G924" s="493">
        <v>0</v>
      </c>
      <c r="W924" s="431">
        <v>8960</v>
      </c>
    </row>
    <row r="925" spans="1:23" ht="25.5" hidden="1" x14ac:dyDescent="0.25">
      <c r="A925" s="489" t="s">
        <v>2281</v>
      </c>
      <c r="B925" s="498" t="s">
        <v>2282</v>
      </c>
      <c r="C925" s="491">
        <v>0</v>
      </c>
      <c r="D925" s="491">
        <v>0</v>
      </c>
      <c r="E925" s="492">
        <v>0</v>
      </c>
      <c r="F925" s="464">
        <v>0</v>
      </c>
      <c r="G925" s="493">
        <v>0</v>
      </c>
      <c r="W925" s="431">
        <v>8961</v>
      </c>
    </row>
    <row r="926" spans="1:23" ht="25.5" hidden="1" x14ac:dyDescent="0.25">
      <c r="A926" s="489" t="s">
        <v>2283</v>
      </c>
      <c r="B926" s="498" t="s">
        <v>2284</v>
      </c>
      <c r="C926" s="491">
        <v>0</v>
      </c>
      <c r="D926" s="491">
        <v>0</v>
      </c>
      <c r="E926" s="492">
        <v>0</v>
      </c>
      <c r="F926" s="464">
        <v>0</v>
      </c>
      <c r="G926" s="493">
        <v>0</v>
      </c>
      <c r="W926" s="431">
        <v>8962</v>
      </c>
    </row>
    <row r="927" spans="1:23" ht="25.5" hidden="1" x14ac:dyDescent="0.25">
      <c r="A927" s="489" t="s">
        <v>2285</v>
      </c>
      <c r="B927" s="498" t="s">
        <v>2286</v>
      </c>
      <c r="C927" s="491">
        <v>0</v>
      </c>
      <c r="D927" s="491">
        <v>0</v>
      </c>
      <c r="E927" s="492">
        <v>0</v>
      </c>
      <c r="F927" s="464">
        <v>0</v>
      </c>
      <c r="G927" s="493">
        <v>0</v>
      </c>
      <c r="W927" s="431">
        <v>8963</v>
      </c>
    </row>
    <row r="928" spans="1:23" ht="38.25" hidden="1" x14ac:dyDescent="0.25">
      <c r="A928" s="489" t="s">
        <v>2287</v>
      </c>
      <c r="B928" s="499" t="s">
        <v>2288</v>
      </c>
      <c r="C928" s="491">
        <v>0</v>
      </c>
      <c r="D928" s="491">
        <v>0</v>
      </c>
      <c r="E928" s="492">
        <v>0</v>
      </c>
      <c r="F928" s="464">
        <v>0</v>
      </c>
      <c r="G928" s="493">
        <v>0</v>
      </c>
      <c r="W928" s="431">
        <v>8964</v>
      </c>
    </row>
    <row r="929" spans="1:23" ht="38.25" hidden="1" x14ac:dyDescent="0.25">
      <c r="A929" s="489" t="s">
        <v>2289</v>
      </c>
      <c r="B929" s="499" t="s">
        <v>2290</v>
      </c>
      <c r="C929" s="491">
        <v>0</v>
      </c>
      <c r="D929" s="491">
        <v>0</v>
      </c>
      <c r="E929" s="492">
        <v>0</v>
      </c>
      <c r="F929" s="464">
        <v>0</v>
      </c>
      <c r="G929" s="493">
        <v>0</v>
      </c>
      <c r="W929" s="431">
        <v>8965</v>
      </c>
    </row>
    <row r="930" spans="1:23" ht="51" hidden="1" x14ac:dyDescent="0.25">
      <c r="A930" s="489" t="s">
        <v>2291</v>
      </c>
      <c r="B930" s="499" t="s">
        <v>2292</v>
      </c>
      <c r="C930" s="491">
        <v>0</v>
      </c>
      <c r="D930" s="491">
        <v>0</v>
      </c>
      <c r="E930" s="492">
        <v>0</v>
      </c>
      <c r="F930" s="464">
        <v>0</v>
      </c>
      <c r="G930" s="493">
        <v>0</v>
      </c>
      <c r="W930" s="431">
        <v>8966</v>
      </c>
    </row>
    <row r="931" spans="1:23" ht="51" hidden="1" x14ac:dyDescent="0.25">
      <c r="A931" s="489" t="s">
        <v>2293</v>
      </c>
      <c r="B931" s="499" t="s">
        <v>2294</v>
      </c>
      <c r="C931" s="491">
        <v>0</v>
      </c>
      <c r="D931" s="491">
        <v>0</v>
      </c>
      <c r="E931" s="492">
        <v>0</v>
      </c>
      <c r="F931" s="464">
        <v>0</v>
      </c>
      <c r="G931" s="493">
        <v>0</v>
      </c>
      <c r="W931" s="431">
        <v>8967</v>
      </c>
    </row>
    <row r="932" spans="1:23" ht="25.5" hidden="1" x14ac:dyDescent="0.25">
      <c r="A932" s="489" t="s">
        <v>2295</v>
      </c>
      <c r="B932" s="499" t="s">
        <v>2296</v>
      </c>
      <c r="C932" s="491">
        <v>0</v>
      </c>
      <c r="D932" s="491">
        <v>0</v>
      </c>
      <c r="E932" s="492">
        <v>0</v>
      </c>
      <c r="F932" s="464">
        <v>0</v>
      </c>
      <c r="G932" s="493">
        <v>0</v>
      </c>
      <c r="W932" s="431">
        <v>8968</v>
      </c>
    </row>
    <row r="933" spans="1:23" ht="25.5" hidden="1" x14ac:dyDescent="0.25">
      <c r="A933" s="489" t="s">
        <v>2297</v>
      </c>
      <c r="B933" s="498" t="s">
        <v>2298</v>
      </c>
      <c r="C933" s="491">
        <v>0</v>
      </c>
      <c r="D933" s="491">
        <v>0</v>
      </c>
      <c r="E933" s="492">
        <v>0</v>
      </c>
      <c r="F933" s="464">
        <v>0</v>
      </c>
      <c r="G933" s="493">
        <v>0</v>
      </c>
      <c r="W933" s="431">
        <v>8969</v>
      </c>
    </row>
    <row r="934" spans="1:23" hidden="1" x14ac:dyDescent="0.25">
      <c r="A934" s="489" t="s">
        <v>2299</v>
      </c>
      <c r="B934" s="497" t="s">
        <v>2300</v>
      </c>
      <c r="C934" s="491">
        <v>0</v>
      </c>
      <c r="D934" s="491">
        <v>0</v>
      </c>
      <c r="E934" s="492">
        <v>0</v>
      </c>
      <c r="F934" s="464">
        <v>0</v>
      </c>
      <c r="G934" s="493">
        <v>0</v>
      </c>
      <c r="W934" s="431">
        <v>8970</v>
      </c>
    </row>
    <row r="935" spans="1:23" ht="25.5" hidden="1" x14ac:dyDescent="0.25">
      <c r="A935" s="489" t="s">
        <v>2301</v>
      </c>
      <c r="B935" s="498" t="s">
        <v>2302</v>
      </c>
      <c r="C935" s="491">
        <v>0</v>
      </c>
      <c r="D935" s="491">
        <v>0</v>
      </c>
      <c r="E935" s="492">
        <v>0</v>
      </c>
      <c r="F935" s="464">
        <v>0</v>
      </c>
      <c r="G935" s="493">
        <v>0</v>
      </c>
      <c r="W935" s="431">
        <v>8971</v>
      </c>
    </row>
    <row r="936" spans="1:23" ht="25.5" hidden="1" x14ac:dyDescent="0.25">
      <c r="A936" s="489" t="s">
        <v>2303</v>
      </c>
      <c r="B936" s="498" t="s">
        <v>2304</v>
      </c>
      <c r="C936" s="491">
        <v>0</v>
      </c>
      <c r="D936" s="491">
        <v>0</v>
      </c>
      <c r="E936" s="492">
        <v>0</v>
      </c>
      <c r="F936" s="464">
        <v>0</v>
      </c>
      <c r="G936" s="493">
        <v>0</v>
      </c>
      <c r="W936" s="431">
        <v>8972</v>
      </c>
    </row>
    <row r="937" spans="1:23" ht="25.5" hidden="1" x14ac:dyDescent="0.25">
      <c r="A937" s="489" t="s">
        <v>2305</v>
      </c>
      <c r="B937" s="499" t="s">
        <v>2306</v>
      </c>
      <c r="C937" s="491">
        <v>0</v>
      </c>
      <c r="D937" s="491">
        <v>0</v>
      </c>
      <c r="E937" s="492">
        <v>0</v>
      </c>
      <c r="F937" s="464">
        <v>0</v>
      </c>
      <c r="G937" s="493">
        <v>0</v>
      </c>
      <c r="W937" s="431">
        <v>8973</v>
      </c>
    </row>
    <row r="938" spans="1:23" ht="25.5" hidden="1" x14ac:dyDescent="0.25">
      <c r="A938" s="489" t="s">
        <v>2307</v>
      </c>
      <c r="B938" s="499" t="s">
        <v>2308</v>
      </c>
      <c r="C938" s="491">
        <v>0</v>
      </c>
      <c r="D938" s="491">
        <v>0</v>
      </c>
      <c r="E938" s="492">
        <v>0</v>
      </c>
      <c r="F938" s="464">
        <v>0</v>
      </c>
      <c r="G938" s="493">
        <v>0</v>
      </c>
      <c r="W938" s="431">
        <v>8974</v>
      </c>
    </row>
    <row r="939" spans="1:23" ht="25.5" hidden="1" x14ac:dyDescent="0.25">
      <c r="A939" s="489" t="s">
        <v>2309</v>
      </c>
      <c r="B939" s="498" t="s">
        <v>2310</v>
      </c>
      <c r="C939" s="491">
        <v>0</v>
      </c>
      <c r="D939" s="491">
        <v>0</v>
      </c>
      <c r="E939" s="492">
        <v>0</v>
      </c>
      <c r="F939" s="464">
        <v>0</v>
      </c>
      <c r="G939" s="493">
        <v>0</v>
      </c>
      <c r="W939" s="431">
        <v>8975</v>
      </c>
    </row>
    <row r="940" spans="1:23" ht="25.5" hidden="1" x14ac:dyDescent="0.25">
      <c r="A940" s="489" t="s">
        <v>2311</v>
      </c>
      <c r="B940" s="498" t="s">
        <v>2312</v>
      </c>
      <c r="C940" s="491">
        <v>0</v>
      </c>
      <c r="D940" s="491">
        <v>0</v>
      </c>
      <c r="E940" s="492">
        <v>0</v>
      </c>
      <c r="F940" s="464">
        <v>0</v>
      </c>
      <c r="G940" s="493">
        <v>0</v>
      </c>
      <c r="W940" s="431">
        <v>8976</v>
      </c>
    </row>
    <row r="941" spans="1:23" ht="25.5" hidden="1" x14ac:dyDescent="0.25">
      <c r="A941" s="489" t="s">
        <v>2313</v>
      </c>
      <c r="B941" s="499" t="s">
        <v>2314</v>
      </c>
      <c r="C941" s="491">
        <v>0</v>
      </c>
      <c r="D941" s="491">
        <v>0</v>
      </c>
      <c r="E941" s="492">
        <v>0</v>
      </c>
      <c r="F941" s="464">
        <v>0</v>
      </c>
      <c r="G941" s="493">
        <v>0</v>
      </c>
      <c r="W941" s="431">
        <v>8977</v>
      </c>
    </row>
    <row r="942" spans="1:23" ht="38.25" hidden="1" x14ac:dyDescent="0.25">
      <c r="A942" s="489" t="s">
        <v>2315</v>
      </c>
      <c r="B942" s="499" t="s">
        <v>2316</v>
      </c>
      <c r="C942" s="491">
        <v>0</v>
      </c>
      <c r="D942" s="491">
        <v>0</v>
      </c>
      <c r="E942" s="492">
        <v>0</v>
      </c>
      <c r="F942" s="464">
        <v>0</v>
      </c>
      <c r="G942" s="493">
        <v>0</v>
      </c>
      <c r="W942" s="431">
        <v>8978</v>
      </c>
    </row>
    <row r="943" spans="1:23" ht="76.5" hidden="1" x14ac:dyDescent="0.25">
      <c r="A943" s="489" t="s">
        <v>2317</v>
      </c>
      <c r="B943" s="499" t="s">
        <v>2318</v>
      </c>
      <c r="C943" s="491">
        <v>0</v>
      </c>
      <c r="D943" s="491">
        <v>0</v>
      </c>
      <c r="E943" s="492">
        <v>0</v>
      </c>
      <c r="F943" s="464">
        <v>0</v>
      </c>
      <c r="G943" s="493">
        <v>0</v>
      </c>
      <c r="W943" s="431">
        <v>8979</v>
      </c>
    </row>
    <row r="944" spans="1:23" ht="38.25" hidden="1" x14ac:dyDescent="0.25">
      <c r="A944" s="489" t="s">
        <v>2319</v>
      </c>
      <c r="B944" s="498" t="s">
        <v>2320</v>
      </c>
      <c r="C944" s="491">
        <v>0</v>
      </c>
      <c r="D944" s="491">
        <v>0</v>
      </c>
      <c r="E944" s="492">
        <v>0</v>
      </c>
      <c r="F944" s="464">
        <v>0</v>
      </c>
      <c r="G944" s="493">
        <v>0</v>
      </c>
      <c r="W944" s="431">
        <v>8980</v>
      </c>
    </row>
    <row r="945" spans="1:23" ht="25.5" hidden="1" x14ac:dyDescent="0.25">
      <c r="A945" s="489" t="s">
        <v>2321</v>
      </c>
      <c r="B945" s="497" t="s">
        <v>2322</v>
      </c>
      <c r="C945" s="491">
        <v>0</v>
      </c>
      <c r="D945" s="491">
        <v>0</v>
      </c>
      <c r="E945" s="492">
        <v>0</v>
      </c>
      <c r="F945" s="464">
        <v>0</v>
      </c>
      <c r="G945" s="493">
        <v>0</v>
      </c>
      <c r="W945" s="431">
        <v>8981</v>
      </c>
    </row>
    <row r="946" spans="1:23" ht="25.5" hidden="1" x14ac:dyDescent="0.25">
      <c r="A946" s="489" t="s">
        <v>2323</v>
      </c>
      <c r="B946" s="498" t="s">
        <v>2324</v>
      </c>
      <c r="C946" s="491">
        <v>0</v>
      </c>
      <c r="D946" s="491">
        <v>0</v>
      </c>
      <c r="E946" s="492">
        <v>0</v>
      </c>
      <c r="F946" s="464">
        <v>0</v>
      </c>
      <c r="G946" s="493">
        <v>0</v>
      </c>
      <c r="W946" s="431">
        <v>8982</v>
      </c>
    </row>
    <row r="947" spans="1:23" ht="51" hidden="1" x14ac:dyDescent="0.25">
      <c r="A947" s="489" t="s">
        <v>2325</v>
      </c>
      <c r="B947" s="498" t="s">
        <v>2326</v>
      </c>
      <c r="C947" s="491">
        <v>0</v>
      </c>
      <c r="D947" s="491">
        <v>0</v>
      </c>
      <c r="E947" s="492">
        <v>0</v>
      </c>
      <c r="F947" s="464">
        <v>0</v>
      </c>
      <c r="G947" s="493">
        <v>0</v>
      </c>
      <c r="W947" s="431">
        <v>8983</v>
      </c>
    </row>
    <row r="948" spans="1:23" ht="51" hidden="1" x14ac:dyDescent="0.25">
      <c r="A948" s="489" t="s">
        <v>2327</v>
      </c>
      <c r="B948" s="498" t="s">
        <v>2328</v>
      </c>
      <c r="C948" s="491">
        <v>0</v>
      </c>
      <c r="D948" s="491">
        <v>0</v>
      </c>
      <c r="E948" s="492">
        <v>0</v>
      </c>
      <c r="F948" s="464">
        <v>0</v>
      </c>
      <c r="G948" s="493">
        <v>0</v>
      </c>
      <c r="W948" s="431">
        <v>8984</v>
      </c>
    </row>
    <row r="949" spans="1:23" ht="63.75" hidden="1" x14ac:dyDescent="0.25">
      <c r="A949" s="489" t="s">
        <v>2329</v>
      </c>
      <c r="B949" s="499" t="s">
        <v>2330</v>
      </c>
      <c r="C949" s="491">
        <v>0</v>
      </c>
      <c r="D949" s="491">
        <v>0</v>
      </c>
      <c r="E949" s="492">
        <v>0</v>
      </c>
      <c r="F949" s="464">
        <v>0</v>
      </c>
      <c r="G949" s="493">
        <v>0</v>
      </c>
      <c r="W949" s="431">
        <v>8985</v>
      </c>
    </row>
    <row r="950" spans="1:23" ht="63.75" hidden="1" x14ac:dyDescent="0.25">
      <c r="A950" s="489" t="s">
        <v>2331</v>
      </c>
      <c r="B950" s="499" t="s">
        <v>2332</v>
      </c>
      <c r="C950" s="491">
        <v>0</v>
      </c>
      <c r="D950" s="491">
        <v>0</v>
      </c>
      <c r="E950" s="492">
        <v>0</v>
      </c>
      <c r="F950" s="464">
        <v>0</v>
      </c>
      <c r="G950" s="493">
        <v>0</v>
      </c>
      <c r="W950" s="431">
        <v>8986</v>
      </c>
    </row>
    <row r="951" spans="1:23" ht="89.25" hidden="1" x14ac:dyDescent="0.25">
      <c r="A951" s="489" t="s">
        <v>2333</v>
      </c>
      <c r="B951" s="499" t="s">
        <v>2334</v>
      </c>
      <c r="C951" s="491">
        <v>0</v>
      </c>
      <c r="D951" s="491">
        <v>0</v>
      </c>
      <c r="E951" s="492">
        <v>0</v>
      </c>
      <c r="F951" s="464">
        <v>0</v>
      </c>
      <c r="G951" s="493">
        <v>0</v>
      </c>
      <c r="W951" s="431">
        <v>8987</v>
      </c>
    </row>
    <row r="952" spans="1:23" ht="89.25" hidden="1" x14ac:dyDescent="0.25">
      <c r="A952" s="489" t="s">
        <v>2335</v>
      </c>
      <c r="B952" s="499" t="s">
        <v>2336</v>
      </c>
      <c r="C952" s="491">
        <v>0</v>
      </c>
      <c r="D952" s="491">
        <v>0</v>
      </c>
      <c r="E952" s="492">
        <v>0</v>
      </c>
      <c r="F952" s="464">
        <v>0</v>
      </c>
      <c r="G952" s="493">
        <v>0</v>
      </c>
      <c r="W952" s="431">
        <v>8988</v>
      </c>
    </row>
    <row r="953" spans="1:23" ht="25.5" hidden="1" x14ac:dyDescent="0.25">
      <c r="A953" s="489" t="s">
        <v>2337</v>
      </c>
      <c r="B953" s="497" t="s">
        <v>2338</v>
      </c>
      <c r="C953" s="491">
        <v>0</v>
      </c>
      <c r="D953" s="491">
        <v>0</v>
      </c>
      <c r="E953" s="492">
        <v>0</v>
      </c>
      <c r="F953" s="464">
        <v>0</v>
      </c>
      <c r="G953" s="493">
        <v>0</v>
      </c>
      <c r="W953" s="431">
        <v>8989</v>
      </c>
    </row>
    <row r="954" spans="1:23" ht="63.75" hidden="1" x14ac:dyDescent="0.25">
      <c r="A954" s="489" t="s">
        <v>2339</v>
      </c>
      <c r="B954" s="498" t="s">
        <v>2340</v>
      </c>
      <c r="C954" s="491">
        <v>0</v>
      </c>
      <c r="D954" s="491">
        <v>0</v>
      </c>
      <c r="E954" s="492">
        <v>0</v>
      </c>
      <c r="F954" s="464">
        <v>0</v>
      </c>
      <c r="G954" s="493">
        <v>0</v>
      </c>
      <c r="W954" s="431">
        <v>8990</v>
      </c>
    </row>
    <row r="955" spans="1:23" ht="25.5" hidden="1" x14ac:dyDescent="0.25">
      <c r="A955" s="489" t="s">
        <v>2341</v>
      </c>
      <c r="B955" s="497" t="s">
        <v>2342</v>
      </c>
      <c r="C955" s="491">
        <v>0</v>
      </c>
      <c r="D955" s="491">
        <v>0</v>
      </c>
      <c r="E955" s="492">
        <v>0</v>
      </c>
      <c r="F955" s="464">
        <v>0</v>
      </c>
      <c r="G955" s="493">
        <v>0</v>
      </c>
      <c r="W955" s="431">
        <v>8991</v>
      </c>
    </row>
    <row r="956" spans="1:23" ht="25.5" hidden="1" x14ac:dyDescent="0.25">
      <c r="A956" s="489" t="s">
        <v>2343</v>
      </c>
      <c r="B956" s="498" t="s">
        <v>2344</v>
      </c>
      <c r="C956" s="491">
        <v>0</v>
      </c>
      <c r="D956" s="491">
        <v>0</v>
      </c>
      <c r="E956" s="492">
        <v>0</v>
      </c>
      <c r="F956" s="464">
        <v>0</v>
      </c>
      <c r="G956" s="493">
        <v>0</v>
      </c>
      <c r="W956" s="431">
        <v>8992</v>
      </c>
    </row>
    <row r="957" spans="1:23" ht="51" hidden="1" x14ac:dyDescent="0.25">
      <c r="A957" s="489" t="s">
        <v>2345</v>
      </c>
      <c r="B957" s="498" t="s">
        <v>2346</v>
      </c>
      <c r="C957" s="491">
        <v>0</v>
      </c>
      <c r="D957" s="491">
        <v>0</v>
      </c>
      <c r="E957" s="492">
        <v>0</v>
      </c>
      <c r="F957" s="464">
        <v>0</v>
      </c>
      <c r="G957" s="493">
        <v>0</v>
      </c>
      <c r="W957" s="431">
        <v>8993</v>
      </c>
    </row>
    <row r="958" spans="1:23" ht="63.75" hidden="1" x14ac:dyDescent="0.25">
      <c r="A958" s="489" t="s">
        <v>2347</v>
      </c>
      <c r="B958" s="499" t="s">
        <v>2348</v>
      </c>
      <c r="C958" s="491">
        <v>0</v>
      </c>
      <c r="D958" s="491">
        <v>0</v>
      </c>
      <c r="E958" s="492">
        <v>0</v>
      </c>
      <c r="F958" s="464">
        <v>0</v>
      </c>
      <c r="G958" s="493">
        <v>0</v>
      </c>
      <c r="W958" s="431">
        <v>8994</v>
      </c>
    </row>
    <row r="959" spans="1:23" ht="63.75" hidden="1" x14ac:dyDescent="0.25">
      <c r="A959" s="489" t="s">
        <v>2349</v>
      </c>
      <c r="B959" s="499" t="s">
        <v>2350</v>
      </c>
      <c r="C959" s="491">
        <v>0</v>
      </c>
      <c r="D959" s="491">
        <v>0</v>
      </c>
      <c r="E959" s="492">
        <v>0</v>
      </c>
      <c r="F959" s="464">
        <v>0</v>
      </c>
      <c r="G959" s="493">
        <v>0</v>
      </c>
      <c r="W959" s="431">
        <v>8995</v>
      </c>
    </row>
    <row r="960" spans="1:23" ht="38.25" hidden="1" x14ac:dyDescent="0.25">
      <c r="A960" s="489" t="s">
        <v>2351</v>
      </c>
      <c r="B960" s="497" t="s">
        <v>2352</v>
      </c>
      <c r="C960" s="491">
        <v>0</v>
      </c>
      <c r="D960" s="491">
        <v>0</v>
      </c>
      <c r="E960" s="492">
        <v>0</v>
      </c>
      <c r="F960" s="464">
        <v>0</v>
      </c>
      <c r="G960" s="493">
        <v>0</v>
      </c>
      <c r="W960" s="431">
        <v>8996</v>
      </c>
    </row>
    <row r="961" spans="1:23" ht="38.25" hidden="1" x14ac:dyDescent="0.25">
      <c r="A961" s="489" t="s">
        <v>2353</v>
      </c>
      <c r="B961" s="498" t="s">
        <v>2354</v>
      </c>
      <c r="C961" s="491">
        <v>0</v>
      </c>
      <c r="D961" s="491">
        <v>0</v>
      </c>
      <c r="E961" s="492">
        <v>0</v>
      </c>
      <c r="F961" s="464">
        <v>0</v>
      </c>
      <c r="G961" s="493">
        <v>0</v>
      </c>
      <c r="W961" s="431">
        <v>8997</v>
      </c>
    </row>
    <row r="962" spans="1:23" ht="63.75" hidden="1" x14ac:dyDescent="0.25">
      <c r="A962" s="489" t="s">
        <v>2355</v>
      </c>
      <c r="B962" s="499" t="s">
        <v>2356</v>
      </c>
      <c r="C962" s="491">
        <v>0</v>
      </c>
      <c r="D962" s="491">
        <v>0</v>
      </c>
      <c r="E962" s="492">
        <v>0</v>
      </c>
      <c r="F962" s="464">
        <v>0</v>
      </c>
      <c r="G962" s="493">
        <v>0</v>
      </c>
      <c r="W962" s="431">
        <v>8998</v>
      </c>
    </row>
    <row r="963" spans="1:23" ht="51" hidden="1" x14ac:dyDescent="0.25">
      <c r="A963" s="489" t="s">
        <v>2357</v>
      </c>
      <c r="B963" s="499" t="s">
        <v>2358</v>
      </c>
      <c r="C963" s="491">
        <v>0</v>
      </c>
      <c r="D963" s="491">
        <v>0</v>
      </c>
      <c r="E963" s="492">
        <v>0</v>
      </c>
      <c r="F963" s="464">
        <v>0</v>
      </c>
      <c r="G963" s="493">
        <v>0</v>
      </c>
      <c r="W963" s="431">
        <v>8999</v>
      </c>
    </row>
    <row r="964" spans="1:23" ht="114.75" hidden="1" x14ac:dyDescent="0.25">
      <c r="A964" s="489" t="s">
        <v>2359</v>
      </c>
      <c r="B964" s="499" t="s">
        <v>2360</v>
      </c>
      <c r="C964" s="491">
        <v>0</v>
      </c>
      <c r="D964" s="491">
        <v>0</v>
      </c>
      <c r="E964" s="492">
        <v>0</v>
      </c>
      <c r="F964" s="464">
        <v>0</v>
      </c>
      <c r="G964" s="493">
        <v>0</v>
      </c>
      <c r="W964" s="431">
        <v>9000</v>
      </c>
    </row>
    <row r="965" spans="1:23" ht="102" hidden="1" x14ac:dyDescent="0.25">
      <c r="A965" s="489" t="s">
        <v>2361</v>
      </c>
      <c r="B965" s="499" t="s">
        <v>2362</v>
      </c>
      <c r="C965" s="491">
        <v>0</v>
      </c>
      <c r="D965" s="491">
        <v>0</v>
      </c>
      <c r="E965" s="492">
        <v>0</v>
      </c>
      <c r="F965" s="464">
        <v>0</v>
      </c>
      <c r="G965" s="493">
        <v>0</v>
      </c>
      <c r="W965" s="431">
        <v>9001</v>
      </c>
    </row>
    <row r="966" spans="1:23" ht="38.25" hidden="1" x14ac:dyDescent="0.25">
      <c r="A966" s="489" t="s">
        <v>2363</v>
      </c>
      <c r="B966" s="498" t="s">
        <v>2364</v>
      </c>
      <c r="C966" s="491">
        <v>0</v>
      </c>
      <c r="D966" s="491">
        <v>0</v>
      </c>
      <c r="E966" s="492">
        <v>0</v>
      </c>
      <c r="F966" s="464">
        <v>0</v>
      </c>
      <c r="G966" s="493">
        <v>0</v>
      </c>
      <c r="W966" s="431">
        <v>9002</v>
      </c>
    </row>
    <row r="967" spans="1:23" ht="38.25" hidden="1" x14ac:dyDescent="0.25">
      <c r="A967" s="489" t="s">
        <v>2365</v>
      </c>
      <c r="B967" s="498" t="s">
        <v>2366</v>
      </c>
      <c r="C967" s="491">
        <v>0</v>
      </c>
      <c r="D967" s="491">
        <v>0</v>
      </c>
      <c r="E967" s="492">
        <v>0</v>
      </c>
      <c r="F967" s="464">
        <v>0</v>
      </c>
      <c r="G967" s="493">
        <v>0</v>
      </c>
      <c r="W967" s="431">
        <v>9003</v>
      </c>
    </row>
    <row r="968" spans="1:23" ht="38.25" hidden="1" x14ac:dyDescent="0.25">
      <c r="A968" s="489" t="s">
        <v>2367</v>
      </c>
      <c r="B968" s="498" t="s">
        <v>2368</v>
      </c>
      <c r="C968" s="491">
        <v>0</v>
      </c>
      <c r="D968" s="491">
        <v>0</v>
      </c>
      <c r="E968" s="492">
        <v>0</v>
      </c>
      <c r="F968" s="464">
        <v>0</v>
      </c>
      <c r="G968" s="493">
        <v>0</v>
      </c>
      <c r="W968" s="431">
        <v>9004</v>
      </c>
    </row>
    <row r="969" spans="1:23" ht="89.25" hidden="1" x14ac:dyDescent="0.25">
      <c r="A969" s="489" t="s">
        <v>2369</v>
      </c>
      <c r="B969" s="499" t="s">
        <v>2370</v>
      </c>
      <c r="C969" s="491">
        <v>0</v>
      </c>
      <c r="D969" s="491">
        <v>0</v>
      </c>
      <c r="E969" s="492">
        <v>0</v>
      </c>
      <c r="F969" s="464">
        <v>0</v>
      </c>
      <c r="G969" s="493">
        <v>0</v>
      </c>
      <c r="W969" s="431">
        <v>9005</v>
      </c>
    </row>
    <row r="970" spans="1:23" ht="89.25" hidden="1" x14ac:dyDescent="0.25">
      <c r="A970" s="489" t="s">
        <v>2371</v>
      </c>
      <c r="B970" s="499" t="s">
        <v>2372</v>
      </c>
      <c r="C970" s="491">
        <v>0</v>
      </c>
      <c r="D970" s="491">
        <v>0</v>
      </c>
      <c r="E970" s="492">
        <v>0</v>
      </c>
      <c r="F970" s="464">
        <v>0</v>
      </c>
      <c r="G970" s="493">
        <v>0</v>
      </c>
      <c r="W970" s="431">
        <v>9006</v>
      </c>
    </row>
    <row r="971" spans="1:23" s="469" customFormat="1" ht="25.5" hidden="1" x14ac:dyDescent="0.25">
      <c r="A971" s="483" t="s">
        <v>2373</v>
      </c>
      <c r="B971" s="494" t="s">
        <v>2374</v>
      </c>
      <c r="C971" s="488">
        <v>0</v>
      </c>
      <c r="D971" s="488">
        <v>0</v>
      </c>
      <c r="E971" s="485">
        <v>0</v>
      </c>
      <c r="F971" s="457">
        <v>0</v>
      </c>
      <c r="G971" s="493">
        <v>0</v>
      </c>
      <c r="W971" s="469">
        <v>9007</v>
      </c>
    </row>
    <row r="972" spans="1:23" ht="38.25" hidden="1" x14ac:dyDescent="0.25">
      <c r="A972" s="489" t="s">
        <v>2375</v>
      </c>
      <c r="B972" s="505" t="s">
        <v>2376</v>
      </c>
      <c r="C972" s="491">
        <v>0</v>
      </c>
      <c r="D972" s="491">
        <v>0</v>
      </c>
      <c r="E972" s="492">
        <v>0</v>
      </c>
      <c r="F972" s="464">
        <v>0</v>
      </c>
      <c r="G972" s="493">
        <v>0</v>
      </c>
      <c r="W972" s="431">
        <v>9008</v>
      </c>
    </row>
    <row r="973" spans="1:23" ht="25.5" hidden="1" x14ac:dyDescent="0.25">
      <c r="A973" s="489" t="s">
        <v>2377</v>
      </c>
      <c r="B973" s="496" t="s">
        <v>2378</v>
      </c>
      <c r="C973" s="491">
        <v>0</v>
      </c>
      <c r="D973" s="491">
        <v>0</v>
      </c>
      <c r="E973" s="492">
        <v>0</v>
      </c>
      <c r="F973" s="464">
        <v>0</v>
      </c>
      <c r="G973" s="493">
        <v>0</v>
      </c>
      <c r="W973" s="431">
        <v>9009</v>
      </c>
    </row>
    <row r="974" spans="1:23" hidden="1" x14ac:dyDescent="0.25">
      <c r="A974" s="489" t="s">
        <v>2379</v>
      </c>
      <c r="B974" s="497" t="s">
        <v>2380</v>
      </c>
      <c r="C974" s="491">
        <v>0</v>
      </c>
      <c r="D974" s="491">
        <v>0</v>
      </c>
      <c r="E974" s="492">
        <v>0</v>
      </c>
      <c r="F974" s="464">
        <v>0</v>
      </c>
      <c r="G974" s="493">
        <v>0</v>
      </c>
      <c r="W974" s="431">
        <v>9010</v>
      </c>
    </row>
    <row r="975" spans="1:23" hidden="1" x14ac:dyDescent="0.25">
      <c r="A975" s="489" t="s">
        <v>2381</v>
      </c>
      <c r="B975" s="497" t="s">
        <v>2382</v>
      </c>
      <c r="C975" s="491">
        <v>0</v>
      </c>
      <c r="D975" s="491">
        <v>0</v>
      </c>
      <c r="E975" s="492">
        <v>0</v>
      </c>
      <c r="F975" s="464">
        <v>0</v>
      </c>
      <c r="G975" s="493">
        <v>0</v>
      </c>
      <c r="W975" s="431">
        <v>9011</v>
      </c>
    </row>
    <row r="976" spans="1:23" ht="38.25" hidden="1" x14ac:dyDescent="0.25">
      <c r="A976" s="489" t="s">
        <v>2383</v>
      </c>
      <c r="B976" s="496" t="s">
        <v>2384</v>
      </c>
      <c r="C976" s="491">
        <v>0</v>
      </c>
      <c r="D976" s="491">
        <v>0</v>
      </c>
      <c r="E976" s="492">
        <v>0</v>
      </c>
      <c r="F976" s="464">
        <v>0</v>
      </c>
      <c r="G976" s="493">
        <v>0</v>
      </c>
      <c r="W976" s="431">
        <v>9012</v>
      </c>
    </row>
    <row r="977" spans="1:23" ht="38.25" hidden="1" x14ac:dyDescent="0.25">
      <c r="A977" s="489" t="s">
        <v>2385</v>
      </c>
      <c r="B977" s="497" t="s">
        <v>2386</v>
      </c>
      <c r="C977" s="491">
        <v>0</v>
      </c>
      <c r="D977" s="491">
        <v>0</v>
      </c>
      <c r="E977" s="492">
        <v>0</v>
      </c>
      <c r="F977" s="464">
        <v>0</v>
      </c>
      <c r="G977" s="493">
        <v>0</v>
      </c>
      <c r="W977" s="431">
        <v>9013</v>
      </c>
    </row>
    <row r="978" spans="1:23" hidden="1" x14ac:dyDescent="0.25">
      <c r="A978" s="489" t="s">
        <v>2387</v>
      </c>
      <c r="B978" s="497" t="s">
        <v>2388</v>
      </c>
      <c r="C978" s="491">
        <v>0</v>
      </c>
      <c r="D978" s="491">
        <v>0</v>
      </c>
      <c r="E978" s="492">
        <v>0</v>
      </c>
      <c r="F978" s="464">
        <v>0</v>
      </c>
      <c r="G978" s="493">
        <v>0</v>
      </c>
      <c r="W978" s="431">
        <v>9014</v>
      </c>
    </row>
    <row r="979" spans="1:23" ht="25.5" hidden="1" x14ac:dyDescent="0.25">
      <c r="A979" s="489" t="s">
        <v>2389</v>
      </c>
      <c r="B979" s="497" t="s">
        <v>2390</v>
      </c>
      <c r="C979" s="491">
        <v>0</v>
      </c>
      <c r="D979" s="491">
        <v>0</v>
      </c>
      <c r="E979" s="492">
        <v>0</v>
      </c>
      <c r="F979" s="464">
        <v>0</v>
      </c>
      <c r="G979" s="493">
        <v>0</v>
      </c>
      <c r="W979" s="431">
        <v>9015</v>
      </c>
    </row>
    <row r="980" spans="1:23" ht="25.5" hidden="1" x14ac:dyDescent="0.25">
      <c r="A980" s="489" t="s">
        <v>2391</v>
      </c>
      <c r="B980" s="505" t="s">
        <v>2392</v>
      </c>
      <c r="C980" s="491">
        <v>0</v>
      </c>
      <c r="D980" s="491">
        <v>0</v>
      </c>
      <c r="E980" s="492">
        <v>0</v>
      </c>
      <c r="F980" s="464">
        <v>0</v>
      </c>
      <c r="G980" s="493">
        <v>0</v>
      </c>
      <c r="W980" s="431">
        <v>9016</v>
      </c>
    </row>
    <row r="981" spans="1:23" hidden="1" x14ac:dyDescent="0.25">
      <c r="A981" s="489" t="s">
        <v>2393</v>
      </c>
      <c r="B981" s="496" t="s">
        <v>2394</v>
      </c>
      <c r="C981" s="491">
        <v>0</v>
      </c>
      <c r="D981" s="491">
        <v>0</v>
      </c>
      <c r="E981" s="492">
        <v>0</v>
      </c>
      <c r="F981" s="464">
        <v>0</v>
      </c>
      <c r="G981" s="493">
        <v>0</v>
      </c>
      <c r="W981" s="431">
        <v>9017</v>
      </c>
    </row>
    <row r="982" spans="1:23" ht="25.5" hidden="1" x14ac:dyDescent="0.25">
      <c r="A982" s="489" t="s">
        <v>2395</v>
      </c>
      <c r="B982" s="496" t="s">
        <v>2396</v>
      </c>
      <c r="C982" s="491">
        <v>0</v>
      </c>
      <c r="D982" s="491">
        <v>0</v>
      </c>
      <c r="E982" s="492">
        <v>0</v>
      </c>
      <c r="F982" s="464">
        <v>0</v>
      </c>
      <c r="G982" s="493">
        <v>0</v>
      </c>
      <c r="W982" s="431">
        <v>9018</v>
      </c>
    </row>
    <row r="983" spans="1:23" ht="38.25" hidden="1" x14ac:dyDescent="0.25">
      <c r="A983" s="489" t="s">
        <v>2397</v>
      </c>
      <c r="B983" s="496" t="s">
        <v>2398</v>
      </c>
      <c r="C983" s="491">
        <v>0</v>
      </c>
      <c r="D983" s="491">
        <v>0</v>
      </c>
      <c r="E983" s="492">
        <v>0</v>
      </c>
      <c r="F983" s="464">
        <v>0</v>
      </c>
      <c r="G983" s="493">
        <v>0</v>
      </c>
      <c r="W983" s="431">
        <v>9019</v>
      </c>
    </row>
    <row r="984" spans="1:23" x14ac:dyDescent="0.25">
      <c r="A984" s="506" t="s">
        <v>2399</v>
      </c>
      <c r="B984" s="506" t="s">
        <v>2400</v>
      </c>
      <c r="C984" s="507">
        <v>-24365</v>
      </c>
      <c r="D984" s="507">
        <v>-9388</v>
      </c>
      <c r="E984" s="485">
        <v>38.53</v>
      </c>
      <c r="F984" s="457">
        <v>-1142</v>
      </c>
      <c r="G984" s="508">
        <v>-8246</v>
      </c>
      <c r="W984" s="431">
        <v>9020</v>
      </c>
    </row>
    <row r="985" spans="1:23" x14ac:dyDescent="0.25">
      <c r="A985" s="506" t="s">
        <v>2401</v>
      </c>
      <c r="B985" s="506" t="s">
        <v>2402</v>
      </c>
      <c r="C985" s="507">
        <v>24365</v>
      </c>
      <c r="D985" s="507">
        <v>9388</v>
      </c>
      <c r="E985" s="509">
        <v>38.53</v>
      </c>
      <c r="F985" s="457">
        <v>1142</v>
      </c>
      <c r="G985" s="508">
        <v>8246</v>
      </c>
      <c r="W985" s="431">
        <v>9021</v>
      </c>
    </row>
    <row r="986" spans="1:23" x14ac:dyDescent="0.25">
      <c r="A986" s="506" t="s">
        <v>2403</v>
      </c>
      <c r="B986" s="510" t="s">
        <v>2404</v>
      </c>
      <c r="C986" s="507">
        <v>127365</v>
      </c>
      <c r="D986" s="507">
        <v>112388</v>
      </c>
      <c r="E986" s="509">
        <v>88.24</v>
      </c>
      <c r="F986" s="457">
        <v>1142</v>
      </c>
      <c r="G986" s="508">
        <v>111246</v>
      </c>
      <c r="W986" s="431">
        <v>9022</v>
      </c>
    </row>
    <row r="987" spans="1:23" hidden="1" x14ac:dyDescent="0.25">
      <c r="A987" s="511" t="s">
        <v>2405</v>
      </c>
      <c r="B987" s="512" t="s">
        <v>2406</v>
      </c>
      <c r="C987" s="513">
        <v>0</v>
      </c>
      <c r="D987" s="513">
        <v>0</v>
      </c>
      <c r="E987" s="514">
        <v>0</v>
      </c>
      <c r="F987" s="464">
        <v>0</v>
      </c>
      <c r="G987" s="508">
        <v>0</v>
      </c>
      <c r="W987" s="431">
        <v>9023</v>
      </c>
    </row>
    <row r="988" spans="1:23" hidden="1" x14ac:dyDescent="0.25">
      <c r="A988" s="511" t="s">
        <v>2407</v>
      </c>
      <c r="B988" s="515" t="s">
        <v>268</v>
      </c>
      <c r="C988" s="513">
        <v>0</v>
      </c>
      <c r="D988" s="513">
        <v>0</v>
      </c>
      <c r="E988" s="514">
        <v>0</v>
      </c>
      <c r="F988" s="464">
        <v>0</v>
      </c>
      <c r="G988" s="508">
        <v>0</v>
      </c>
      <c r="W988" s="431">
        <v>9024</v>
      </c>
    </row>
    <row r="989" spans="1:23" hidden="1" x14ac:dyDescent="0.25">
      <c r="A989" s="511" t="s">
        <v>2408</v>
      </c>
      <c r="B989" s="515" t="s">
        <v>2409</v>
      </c>
      <c r="C989" s="513">
        <v>0</v>
      </c>
      <c r="D989" s="513">
        <v>0</v>
      </c>
      <c r="E989" s="514">
        <v>0</v>
      </c>
      <c r="F989" s="464">
        <v>0</v>
      </c>
      <c r="G989" s="508">
        <v>0</v>
      </c>
      <c r="W989" s="431">
        <v>9025</v>
      </c>
    </row>
    <row r="990" spans="1:23" x14ac:dyDescent="0.25">
      <c r="A990" s="511" t="s">
        <v>2410</v>
      </c>
      <c r="B990" s="512" t="s">
        <v>2411</v>
      </c>
      <c r="C990" s="513">
        <v>127365</v>
      </c>
      <c r="D990" s="513">
        <v>112388</v>
      </c>
      <c r="E990" s="514">
        <v>88.24</v>
      </c>
      <c r="F990" s="464">
        <v>1142</v>
      </c>
      <c r="G990" s="508">
        <v>111246</v>
      </c>
      <c r="W990" s="431">
        <v>9026</v>
      </c>
    </row>
    <row r="991" spans="1:23" x14ac:dyDescent="0.25">
      <c r="A991" s="511" t="s">
        <v>2412</v>
      </c>
      <c r="B991" s="515" t="s">
        <v>2413</v>
      </c>
      <c r="C991" s="513">
        <v>127365</v>
      </c>
      <c r="D991" s="513">
        <v>127365</v>
      </c>
      <c r="E991" s="514">
        <v>100</v>
      </c>
      <c r="F991" s="464">
        <v>0</v>
      </c>
      <c r="G991" s="508">
        <v>127365</v>
      </c>
      <c r="W991" s="431">
        <v>9027</v>
      </c>
    </row>
    <row r="992" spans="1:23" x14ac:dyDescent="0.25">
      <c r="A992" s="511" t="s">
        <v>2414</v>
      </c>
      <c r="B992" s="515" t="s">
        <v>2415</v>
      </c>
      <c r="C992" s="513">
        <v>0</v>
      </c>
      <c r="D992" s="513">
        <v>14977</v>
      </c>
      <c r="E992" s="514">
        <v>0</v>
      </c>
      <c r="F992" s="464">
        <v>-1142</v>
      </c>
      <c r="G992" s="508">
        <v>16119</v>
      </c>
      <c r="W992" s="431">
        <v>9028</v>
      </c>
    </row>
    <row r="993" spans="1:23" hidden="1" x14ac:dyDescent="0.25">
      <c r="A993" s="511" t="s">
        <v>2416</v>
      </c>
      <c r="B993" s="512" t="s">
        <v>2417</v>
      </c>
      <c r="C993" s="513">
        <v>0</v>
      </c>
      <c r="D993" s="513">
        <v>0</v>
      </c>
      <c r="E993" s="514">
        <v>0</v>
      </c>
      <c r="F993" s="464">
        <v>0</v>
      </c>
      <c r="G993" s="508">
        <v>0</v>
      </c>
      <c r="W993" s="431">
        <v>9029</v>
      </c>
    </row>
    <row r="994" spans="1:23" hidden="1" x14ac:dyDescent="0.25">
      <c r="A994" s="511" t="s">
        <v>2418</v>
      </c>
      <c r="B994" s="515" t="s">
        <v>2419</v>
      </c>
      <c r="C994" s="516">
        <v>0</v>
      </c>
      <c r="D994" s="516">
        <v>0</v>
      </c>
      <c r="E994" s="514">
        <v>0</v>
      </c>
      <c r="F994" s="464">
        <v>0</v>
      </c>
      <c r="G994" s="508">
        <v>0</v>
      </c>
      <c r="W994" s="431">
        <v>9030</v>
      </c>
    </row>
    <row r="995" spans="1:23" hidden="1" x14ac:dyDescent="0.25">
      <c r="A995" s="511" t="s">
        <v>2420</v>
      </c>
      <c r="B995" s="515" t="s">
        <v>2421</v>
      </c>
      <c r="C995" s="516">
        <v>0</v>
      </c>
      <c r="D995" s="516">
        <v>0</v>
      </c>
      <c r="E995" s="514">
        <v>0</v>
      </c>
      <c r="F995" s="464">
        <v>0</v>
      </c>
      <c r="G995" s="508">
        <v>0</v>
      </c>
      <c r="W995" s="431">
        <v>9031</v>
      </c>
    </row>
    <row r="996" spans="1:23" ht="25.5" hidden="1" x14ac:dyDescent="0.25">
      <c r="A996" s="506" t="s">
        <v>2422</v>
      </c>
      <c r="B996" s="510" t="s">
        <v>2423</v>
      </c>
      <c r="C996" s="507">
        <v>0</v>
      </c>
      <c r="D996" s="507">
        <v>0</v>
      </c>
      <c r="E996" s="509">
        <v>0</v>
      </c>
      <c r="F996" s="457">
        <v>0</v>
      </c>
      <c r="G996" s="508">
        <v>0</v>
      </c>
      <c r="W996" s="431">
        <v>9032</v>
      </c>
    </row>
    <row r="997" spans="1:23" hidden="1" x14ac:dyDescent="0.25">
      <c r="A997" s="506" t="s">
        <v>2424</v>
      </c>
      <c r="B997" s="510" t="s">
        <v>2425</v>
      </c>
      <c r="C997" s="507">
        <v>0</v>
      </c>
      <c r="D997" s="507">
        <v>0</v>
      </c>
      <c r="E997" s="509">
        <v>0</v>
      </c>
      <c r="F997" s="457">
        <v>0</v>
      </c>
      <c r="G997" s="508">
        <v>0</v>
      </c>
      <c r="W997" s="431">
        <v>9033</v>
      </c>
    </row>
    <row r="998" spans="1:23" hidden="1" x14ac:dyDescent="0.25">
      <c r="A998" s="506" t="s">
        <v>2426</v>
      </c>
      <c r="B998" s="517" t="s">
        <v>10</v>
      </c>
      <c r="C998" s="507">
        <v>0</v>
      </c>
      <c r="D998" s="507">
        <v>0</v>
      </c>
      <c r="E998" s="509">
        <v>0</v>
      </c>
      <c r="F998" s="457">
        <v>0</v>
      </c>
      <c r="G998" s="508">
        <v>0</v>
      </c>
      <c r="W998" s="431">
        <v>9034</v>
      </c>
    </row>
    <row r="999" spans="1:23" hidden="1" x14ac:dyDescent="0.25">
      <c r="A999" s="506" t="s">
        <v>2427</v>
      </c>
      <c r="B999" s="517" t="s">
        <v>2428</v>
      </c>
      <c r="C999" s="507">
        <v>0</v>
      </c>
      <c r="D999" s="507">
        <v>0</v>
      </c>
      <c r="E999" s="509">
        <v>0</v>
      </c>
      <c r="F999" s="457">
        <v>0</v>
      </c>
      <c r="G999" s="508">
        <v>0</v>
      </c>
      <c r="W999" s="431">
        <v>9035</v>
      </c>
    </row>
    <row r="1000" spans="1:23" x14ac:dyDescent="0.25">
      <c r="A1000" s="506" t="s">
        <v>2429</v>
      </c>
      <c r="B1000" s="510" t="s">
        <v>2430</v>
      </c>
      <c r="C1000" s="507">
        <v>-103000</v>
      </c>
      <c r="D1000" s="507">
        <v>-103000</v>
      </c>
      <c r="E1000" s="509">
        <v>100</v>
      </c>
      <c r="F1000" s="457">
        <v>0</v>
      </c>
      <c r="G1000" s="508">
        <v>-103000</v>
      </c>
      <c r="W1000" s="431">
        <v>9036</v>
      </c>
    </row>
    <row r="1001" spans="1:23" ht="38.25" x14ac:dyDescent="0.25">
      <c r="A1001" s="518" t="s">
        <v>2431</v>
      </c>
      <c r="B1001" s="519" t="s">
        <v>2432</v>
      </c>
      <c r="C1001" s="520">
        <v>-103000</v>
      </c>
      <c r="D1001" s="520">
        <v>-103000</v>
      </c>
      <c r="E1001" s="521">
        <v>100</v>
      </c>
      <c r="F1001" s="477">
        <v>0</v>
      </c>
      <c r="G1001" s="508">
        <v>-103000</v>
      </c>
      <c r="W1001" s="431">
        <v>9037</v>
      </c>
    </row>
    <row r="1002" spans="1:23" hidden="1" x14ac:dyDescent="0.25">
      <c r="A1002" s="511" t="s">
        <v>2433</v>
      </c>
      <c r="B1002" s="512" t="s">
        <v>2434</v>
      </c>
      <c r="C1002" s="513">
        <v>0</v>
      </c>
      <c r="D1002" s="513">
        <v>0</v>
      </c>
      <c r="E1002" s="514">
        <v>0</v>
      </c>
      <c r="F1002" s="464">
        <v>0</v>
      </c>
      <c r="G1002" s="508">
        <v>0</v>
      </c>
      <c r="W1002" s="431">
        <v>9038</v>
      </c>
    </row>
    <row r="1003" spans="1:23" x14ac:dyDescent="0.25">
      <c r="A1003" s="522"/>
      <c r="B1003" s="523"/>
      <c r="W1003" s="431">
        <v>9039</v>
      </c>
    </row>
    <row r="1004" spans="1:23" x14ac:dyDescent="0.25">
      <c r="A1004" s="522"/>
      <c r="B1004" s="525" t="s">
        <v>2435</v>
      </c>
      <c r="C1004" s="526"/>
      <c r="D1004" s="526"/>
      <c r="E1004" s="526"/>
      <c r="F1004" s="526"/>
      <c r="W1004" s="431">
        <v>9040</v>
      </c>
    </row>
    <row r="1005" spans="1:23" x14ac:dyDescent="0.25">
      <c r="A1005" s="522"/>
      <c r="B1005" s="525"/>
      <c r="C1005" s="526"/>
      <c r="D1005" s="526"/>
      <c r="E1005" s="526"/>
      <c r="F1005" s="526"/>
      <c r="W1005" s="431">
        <v>9041</v>
      </c>
    </row>
    <row r="1006" spans="1:23" ht="26.25" x14ac:dyDescent="0.25">
      <c r="A1006" s="527" t="s">
        <v>2436</v>
      </c>
      <c r="B1006" s="528" t="s">
        <v>528</v>
      </c>
      <c r="C1006" s="529" t="s">
        <v>530</v>
      </c>
      <c r="E1006" s="530"/>
      <c r="F1006" s="530"/>
      <c r="W1006" s="431">
        <v>9042</v>
      </c>
    </row>
    <row r="1007" spans="1:23" x14ac:dyDescent="0.25">
      <c r="A1007" s="511" t="s">
        <v>2437</v>
      </c>
      <c r="B1007" s="531" t="s">
        <v>2438</v>
      </c>
      <c r="C1007" s="513">
        <v>127365</v>
      </c>
      <c r="E1007" s="530"/>
      <c r="F1007" s="530"/>
      <c r="W1007" s="431">
        <v>9043</v>
      </c>
    </row>
    <row r="1008" spans="1:23" x14ac:dyDescent="0.25">
      <c r="A1008" s="511" t="s">
        <v>2439</v>
      </c>
      <c r="B1008" s="531" t="s">
        <v>2440</v>
      </c>
      <c r="C1008" s="513">
        <v>14977</v>
      </c>
      <c r="E1008" s="530"/>
      <c r="F1008" s="530"/>
      <c r="W1008" s="431">
        <v>9044</v>
      </c>
    </row>
    <row r="1009" spans="1:6" x14ac:dyDescent="0.25">
      <c r="A1009" s="532"/>
      <c r="B1009" s="533"/>
      <c r="C1009" s="530"/>
      <c r="D1009" s="530"/>
      <c r="E1009" s="530"/>
      <c r="F1009" s="530"/>
    </row>
    <row r="1010" spans="1:6" x14ac:dyDescent="0.25">
      <c r="A1010" s="532"/>
      <c r="B1010" s="534" t="s">
        <v>2441</v>
      </c>
      <c r="C1010" s="530"/>
      <c r="D1010" s="530"/>
      <c r="E1010" s="530"/>
      <c r="F1010" s="530"/>
    </row>
    <row r="1011" spans="1:6" x14ac:dyDescent="0.25">
      <c r="A1011" s="532"/>
      <c r="B1011" s="534"/>
      <c r="C1011" s="530"/>
      <c r="D1011" s="530"/>
      <c r="E1011" s="530"/>
      <c r="F1011" s="530"/>
    </row>
    <row r="1012" spans="1:6" ht="16.5" customHeight="1" x14ac:dyDescent="0.25">
      <c r="A1012" s="535"/>
      <c r="B1012" s="536"/>
      <c r="C1012" s="530"/>
      <c r="D1012" s="530"/>
      <c r="E1012" s="530"/>
      <c r="F1012" s="530"/>
    </row>
    <row r="1013" spans="1:6" ht="48.75" x14ac:dyDescent="0.25">
      <c r="A1013" s="537"/>
      <c r="B1013" s="538" t="s">
        <v>2442</v>
      </c>
      <c r="C1013" s="530"/>
      <c r="D1013" s="539"/>
      <c r="E1013" s="539"/>
      <c r="F1013" s="530"/>
    </row>
    <row r="1014" spans="1:6" ht="36" customHeight="1" thickBot="1" x14ac:dyDescent="0.3">
      <c r="A1014" s="570" t="s">
        <v>2443</v>
      </c>
      <c r="B1014" s="570"/>
      <c r="C1014" s="570"/>
      <c r="D1014" s="570"/>
      <c r="E1014"/>
      <c r="F1014"/>
    </row>
    <row r="1015" spans="1:6" ht="15.75" customHeight="1" x14ac:dyDescent="0.25">
      <c r="B1015" s="571"/>
      <c r="C1015" s="541" t="s">
        <v>2444</v>
      </c>
      <c r="D1015" s="573" t="s">
        <v>2445</v>
      </c>
      <c r="E1015" s="575"/>
      <c r="F1015"/>
    </row>
    <row r="1016" spans="1:6" ht="16.5" thickBot="1" x14ac:dyDescent="0.3">
      <c r="B1016" s="572"/>
      <c r="C1016" s="542" t="s">
        <v>2446</v>
      </c>
      <c r="D1016" s="574"/>
      <c r="E1016" s="575"/>
      <c r="F1016"/>
    </row>
    <row r="1017" spans="1:6" ht="16.5" thickBot="1" x14ac:dyDescent="0.3">
      <c r="B1017" s="543" t="s">
        <v>2447</v>
      </c>
      <c r="C1017" s="544">
        <v>45206</v>
      </c>
      <c r="D1017" s="545">
        <v>45206</v>
      </c>
      <c r="E1017" s="546">
        <f>D1017/C1017</f>
        <v>1</v>
      </c>
      <c r="F1017"/>
    </row>
    <row r="1018" spans="1:6" ht="16.5" thickBot="1" x14ac:dyDescent="0.3">
      <c r="B1018" s="543" t="s">
        <v>2448</v>
      </c>
      <c r="C1018" s="544">
        <v>191340</v>
      </c>
      <c r="D1018" s="545">
        <f>D508</f>
        <v>47835</v>
      </c>
      <c r="E1018" s="546">
        <f t="shared" ref="E1018:E1019" si="0">D1018/C1018</f>
        <v>0.25</v>
      </c>
      <c r="F1018"/>
    </row>
    <row r="1019" spans="1:6" ht="16.5" thickBot="1" x14ac:dyDescent="0.3">
      <c r="B1019" s="543" t="s">
        <v>2449</v>
      </c>
      <c r="C1019" s="544">
        <v>236546</v>
      </c>
      <c r="D1019" s="545">
        <f>D594</f>
        <v>78764</v>
      </c>
      <c r="E1019" s="546">
        <f t="shared" si="0"/>
        <v>0.33297540436109679</v>
      </c>
      <c r="F1019"/>
    </row>
    <row r="1020" spans="1:6" ht="16.5" thickBot="1" x14ac:dyDescent="0.3">
      <c r="B1020" s="543" t="s">
        <v>2450</v>
      </c>
      <c r="C1020" s="547" t="s">
        <v>510</v>
      </c>
      <c r="D1020" s="545">
        <f>D1017+D1018-D1019</f>
        <v>14277</v>
      </c>
      <c r="E1020" s="548"/>
      <c r="F1020"/>
    </row>
    <row r="1021" spans="1:6" x14ac:dyDescent="0.25">
      <c r="A1021" s="549"/>
      <c r="B1021"/>
      <c r="C1021"/>
      <c r="D1021"/>
      <c r="E1021"/>
      <c r="F1021"/>
    </row>
    <row r="1022" spans="1:6" x14ac:dyDescent="0.25">
      <c r="B1022" s="549" t="s">
        <v>2451</v>
      </c>
      <c r="C1022" s="550" t="s">
        <v>2452</v>
      </c>
      <c r="D1022" s="551" t="s">
        <v>2453</v>
      </c>
      <c r="E1022"/>
      <c r="F1022"/>
    </row>
    <row r="1023" spans="1:6" x14ac:dyDescent="0.25">
      <c r="A1023" s="552" t="s">
        <v>2454</v>
      </c>
      <c r="C1023" s="554" t="s">
        <v>2455</v>
      </c>
      <c r="D1023" s="555">
        <v>82159</v>
      </c>
      <c r="E1023" s="546">
        <f>D1023/82159</f>
        <v>1</v>
      </c>
      <c r="F1023"/>
    </row>
    <row r="1024" spans="1:6" x14ac:dyDescent="0.25">
      <c r="A1024" s="556" t="s">
        <v>2456</v>
      </c>
      <c r="B1024" s="557"/>
      <c r="C1024" s="558" t="s">
        <v>2457</v>
      </c>
      <c r="D1024" s="559">
        <f>D106</f>
        <v>21541</v>
      </c>
      <c r="E1024" s="546">
        <f>D1024/50000</f>
        <v>0.43081999999999998</v>
      </c>
    </row>
    <row r="1025" spans="1:5" ht="16.5" thickBot="1" x14ac:dyDescent="0.3">
      <c r="A1025" s="560" t="s">
        <v>2458</v>
      </c>
      <c r="B1025" s="561"/>
      <c r="C1025" s="562" t="s">
        <v>2459</v>
      </c>
      <c r="D1025" s="563">
        <f>-D1001</f>
        <v>103000</v>
      </c>
      <c r="E1025" s="546">
        <f>D1025/132159</f>
        <v>0.77936425063748971</v>
      </c>
    </row>
    <row r="1026" spans="1:5" x14ac:dyDescent="0.25">
      <c r="A1026" s="552" t="s">
        <v>2460</v>
      </c>
      <c r="C1026" s="508">
        <f>82159+50000-132159</f>
        <v>0</v>
      </c>
      <c r="D1026" s="564">
        <f>D1023+D1024-D1025</f>
        <v>700</v>
      </c>
    </row>
  </sheetData>
  <sheetProtection selectLockedCells="1" selectUnlockedCells="1"/>
  <mergeCells count="13">
    <mergeCell ref="A5:E5"/>
    <mergeCell ref="A1:B2"/>
    <mergeCell ref="C1:F1"/>
    <mergeCell ref="C2:F2"/>
    <mergeCell ref="A3:E3"/>
    <mergeCell ref="A4:E4"/>
    <mergeCell ref="A6:E6"/>
    <mergeCell ref="A7:E7"/>
    <mergeCell ref="A8:E8"/>
    <mergeCell ref="A1014:D1014"/>
    <mergeCell ref="B1015:B1016"/>
    <mergeCell ref="D1015:D1016"/>
    <mergeCell ref="E1015:E1016"/>
  </mergeCells>
  <printOptions horizontalCentered="1"/>
  <pageMargins left="0.78749999999999998" right="0.78749999999999998" top="0.98402777777777772" bottom="0.78680555555555554" header="0.51180555555555551" footer="0.19652777777777777"/>
  <pageSetup paperSize="9" scale="80" fitToHeight="0" orientation="portrait" useFirstPageNumber="1" horizontalDpi="300" verticalDpi="300" r:id="rId1"/>
  <headerFooter alignWithMargins="0">
    <oddFooter>&amp;L&amp;"Times New Roman,Regular"1-SB; Pārskats par speciālā budžeta izpildi&amp;R&amp;"Times New Roman,Regular"&amp;P</oddFooter>
  </headerFooter>
  <rowBreaks count="1" manualBreakCount="1">
    <brk id="100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5</vt:i4>
      </vt:variant>
    </vt:vector>
  </HeadingPairs>
  <TitlesOfParts>
    <vt:vector size="7" baseType="lpstr">
      <vt:lpstr>2017.gada budzeta izpilde</vt:lpstr>
      <vt:lpstr>Spec_Budz_izpilde</vt:lpstr>
      <vt:lpstr>'2017.gada budzeta izpilde'!Drukas_apgabals</vt:lpstr>
      <vt:lpstr>Spec_Budz_izpilde!Drukas_apgabals</vt:lpstr>
      <vt:lpstr>'2017.gada budzeta izpilde'!Drukāt_virsrakstus</vt:lpstr>
      <vt:lpstr>Spec_Budz_izpilde!Drukāt_virsrakstus</vt:lpstr>
      <vt:lpstr>Excel_BuiltIn_Print_Titles_1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2017-05-03T08:58:25Z</dcterms:created>
  <dcterms:modified xsi:type="dcterms:W3CDTF">2017-05-03T09:07:35Z</dcterms:modified>
</cp:coreProperties>
</file>