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Šī_darbgrāmata"/>
  <mc:AlternateContent xmlns:mc="http://schemas.openxmlformats.org/markup-compatibility/2006">
    <mc:Choice Requires="x15">
      <x15ac:absPath xmlns:x15ac="http://schemas.microsoft.com/office/spreadsheetml/2010/11/ac" url="C:\Users\Sintija.Tenisa\Desktop\"/>
    </mc:Choice>
  </mc:AlternateContent>
  <xr:revisionPtr revIDLastSave="0" documentId="8_{DBE82C80-6013-44E8-B5DB-85222AA31ECD}" xr6:coauthVersionLast="47" xr6:coauthVersionMax="47" xr10:uidLastSave="{00000000-0000-0000-0000-000000000000}"/>
  <bookViews>
    <workbookView xWindow="-108" yWindow="-108" windowWidth="23256" windowHeight="12576" tabRatio="866" firstSheet="1" activeTab="9" xr2:uid="{00000000-000D-0000-FFFF-FFFF00000000}"/>
  </bookViews>
  <sheets>
    <sheet name="PIVOT_2023" sheetId="105" r:id="rId1"/>
    <sheet name="Investīcijas_2023" sheetId="118" r:id="rId2"/>
    <sheet name="4.piel_Saistibas" sheetId="72" r:id="rId3"/>
    <sheet name="0841" sheetId="117" r:id="rId4"/>
    <sheet name="0841.1_Gaujas svetki" sheetId="100" r:id="rId5"/>
    <sheet name="0841.4_Dziesmu svētki" sheetId="102" r:id="rId6"/>
    <sheet name="0812_Sport" sheetId="101" r:id="rId7"/>
    <sheet name="0812 _Trenažieri" sheetId="120" r:id="rId8"/>
    <sheet name="0630_dekori" sheetId="106" r:id="rId9"/>
    <sheet name="Priekšlikumi ārtelpas projekt" sheetId="114" r:id="rId10"/>
  </sheets>
  <externalReferences>
    <externalReference r:id="rId11"/>
    <externalReference r:id="rId12"/>
  </externalReferences>
  <definedNames>
    <definedName name="_0812">[1]Groz_NIN_12_2014!#REF!</definedName>
    <definedName name="_Hlk118286372" localSheetId="3">'0841'!$B$33</definedName>
    <definedName name="Apmaksa" localSheetId="2">[2]Apmaksa!$A$1:$A$65536</definedName>
    <definedName name="Apmaksa">[2]Apmaksa!$A$1:$A$65536</definedName>
    <definedName name="Darijums" localSheetId="2">[2]Darijums!$A$1:$A$65536</definedName>
    <definedName name="Darijums">[2]Darijums!$A$1:$A$65536</definedName>
    <definedName name="Excel_BuiltIn__FilterDatabase" localSheetId="8">[1]Groz_NIN_12_2014!#REF!</definedName>
    <definedName name="Excel_BuiltIn__FilterDatabase" localSheetId="7">[1]Groz_NIN_12_2014!#REF!</definedName>
    <definedName name="Excel_BuiltIn__FilterDatabase" localSheetId="6">[1]Groz_NIN_12_2014!#REF!</definedName>
    <definedName name="Excel_BuiltIn__FilterDatabase" localSheetId="5">[1]Groz_NIN_12_2014!#REF!</definedName>
    <definedName name="Excel_BuiltIn__FilterDatabase" localSheetId="2">[1]Groz_NIN_12_2014!#REF!</definedName>
    <definedName name="Excel_BuiltIn__FilterDatabase" localSheetId="9">[1]Groz_NIN_12_2014!#REF!</definedName>
    <definedName name="Excel_BuiltIn__FilterDatabase">[1]Groz_NIN_12_2014!#REF!</definedName>
    <definedName name="Firmas" localSheetId="2">[2]Firma!$A$1:$A$65536</definedName>
    <definedName name="Firmas">[2]Firma!$A$1:$A$65536</definedName>
    <definedName name="Kolonnas_virsraksta_reģions1..B11.1">'0841'!$B$6</definedName>
    <definedName name="Kolonnas_virsraksta_reģions1..D4">'0841'!$C$2</definedName>
    <definedName name="Kolonnas_virsraksta_reģions2..D7">'0841'!$C$6</definedName>
    <definedName name="Kolonnas_virsraksta_reģions3..C12">'0841'!$B$12</definedName>
    <definedName name="KolonnasNosaukums1">Piedāvājums[[#Headers],[Apraksts]]</definedName>
    <definedName name="page1" localSheetId="7">'0812 _Trenažieri'!$K$5</definedName>
    <definedName name="page2" localSheetId="7">'0812 _Trenažieri'!$K$119</definedName>
    <definedName name="page3" localSheetId="7">'0812 _Trenažieri'!$K$178</definedName>
    <definedName name="page4" localSheetId="7">'0812 _Trenažieri'!$I$92</definedName>
    <definedName name="page5" localSheetId="7">'0812 _Trenažieri'!$K$359</definedName>
    <definedName name="page6" localSheetId="7">'0812 _Trenažieri'!$K$483</definedName>
    <definedName name="page7" localSheetId="7">'0812 _Trenažieri'!$K$537</definedName>
    <definedName name="Parvadataji" localSheetId="2">[2]Ligumi!$A$1:$A$65536</definedName>
    <definedName name="Parvadataji">[2]Ligumi!$A$1:$A$65536</definedName>
    <definedName name="_xlnm.Print_Area" localSheetId="2">'4.piel_Saistibas'!$A$1:$AF$185</definedName>
    <definedName name="_xlnm.Print_Titles" localSheetId="3">'0841'!$13:$13</definedName>
    <definedName name="_xlnm.Print_Titles" localSheetId="2">'4.piel_Saistibas'!$9:$9</definedName>
    <definedName name="Saist_apmers_ar_galvojumu">[2]Ligumi!$A$1:$A$65536</definedName>
    <definedName name="Z_1893421C_DBAA_4C10_AA6C_4D0F39122205_.wvu.FilterData" localSheetId="8">[1]Groz_NIN_12_2014!#REF!</definedName>
    <definedName name="Z_1893421C_DBAA_4C10_AA6C_4D0F39122205_.wvu.FilterData" localSheetId="7">[1]Groz_NIN_12_2014!#REF!</definedName>
    <definedName name="Z_1893421C_DBAA_4C10_AA6C_4D0F39122205_.wvu.FilterData" localSheetId="6">[1]Groz_NIN_12_2014!#REF!</definedName>
    <definedName name="Z_1893421C_DBAA_4C10_AA6C_4D0F39122205_.wvu.FilterData" localSheetId="5">[1]Groz_NIN_12_2014!#REF!</definedName>
    <definedName name="Z_1893421C_DBAA_4C10_AA6C_4D0F39122205_.wvu.FilterData" localSheetId="2">[1]Groz_NIN_12_2014!#REF!</definedName>
    <definedName name="Z_1893421C_DBAA_4C10_AA6C_4D0F39122205_.wvu.FilterData" localSheetId="9">[1]Groz_NIN_12_2014!#REF!</definedName>
    <definedName name="Z_1893421C_DBAA_4C10_AA6C_4D0F39122205_.wvu.FilterData">[1]Groz_NIN_12_2014!#REF!</definedName>
    <definedName name="Z_483F8D4B_D649_4D59_A67B_5E8B6C0D2E28_.wvu.FilterData" localSheetId="8">[1]Groz_NIN_12_2014!#REF!</definedName>
    <definedName name="Z_483F8D4B_D649_4D59_A67B_5E8B6C0D2E28_.wvu.FilterData" localSheetId="6">[1]Groz_NIN_12_2014!#REF!</definedName>
    <definedName name="Z_483F8D4B_D649_4D59_A67B_5E8B6C0D2E28_.wvu.FilterData" localSheetId="5">[1]Groz_NIN_12_2014!#REF!</definedName>
    <definedName name="Z_483F8D4B_D649_4D59_A67B_5E8B6C0D2E28_.wvu.FilterData" localSheetId="2">[1]Groz_NIN_12_2014!#REF!</definedName>
    <definedName name="Z_483F8D4B_D649_4D59_A67B_5E8B6C0D2E28_.wvu.FilterData" localSheetId="9">[1]Groz_NIN_12_2014!#REF!</definedName>
    <definedName name="Z_483F8D4B_D649_4D59_A67B_5E8B6C0D2E28_.wvu.FilterData">[1]Groz_NIN_12_2014!#REF!</definedName>
    <definedName name="Z_56A06D27_97E5_4D01_ADCE_F8E0A2A870EF_.wvu.FilterData" localSheetId="6">[1]Groz_NIN_12_2014!#REF!</definedName>
    <definedName name="Z_56A06D27_97E5_4D01_ADCE_F8E0A2A870EF_.wvu.FilterData" localSheetId="5">[1]Groz_NIN_12_2014!#REF!</definedName>
    <definedName name="Z_56A06D27_97E5_4D01_ADCE_F8E0A2A870EF_.wvu.FilterData" localSheetId="2">[1]Groz_NIN_12_2014!#REF!</definedName>
    <definedName name="Z_56A06D27_97E5_4D01_ADCE_F8E0A2A870EF_.wvu.FilterData">[1]Groz_NIN_12_2014!#REF!</definedName>
    <definedName name="Z_81EB1DB6_89AB_4045_90FA_EF2BA7E792F9_.wvu.FilterData" localSheetId="6">[1]Groz_NIN_12_2014!#REF!</definedName>
    <definedName name="Z_81EB1DB6_89AB_4045_90FA_EF2BA7E792F9_.wvu.FilterData" localSheetId="5">[1]Groz_NIN_12_2014!#REF!</definedName>
    <definedName name="Z_81EB1DB6_89AB_4045_90FA_EF2BA7E792F9_.wvu.FilterData" localSheetId="2">[1]Groz_NIN_12_2014!#REF!</definedName>
    <definedName name="Z_81EB1DB6_89AB_4045_90FA_EF2BA7E792F9_.wvu.FilterData">[1]Groz_NIN_12_2014!#REF!</definedName>
    <definedName name="Z_81EB1DB6_89AB_4045_90FA_EF2BA7E792F9_.wvu.PrintArea" localSheetId="6">[1]Groz_NIN_12_2014!#REF!</definedName>
    <definedName name="Z_81EB1DB6_89AB_4045_90FA_EF2BA7E792F9_.wvu.PrintArea" localSheetId="5">[1]Groz_NIN_12_2014!#REF!</definedName>
    <definedName name="Z_81EB1DB6_89AB_4045_90FA_EF2BA7E792F9_.wvu.PrintArea" localSheetId="2">[1]Groz_NIN_12_2014!#REF!</definedName>
    <definedName name="Z_81EB1DB6_89AB_4045_90FA_EF2BA7E792F9_.wvu.PrintArea">[1]Groz_NIN_12_2014!#REF!</definedName>
    <definedName name="Z_8545B4E6_A517_4BD7_BFB7_42FEB5F229AD_.wvu.FilterData" localSheetId="6">[1]Groz_NIN_12_2014!#REF!</definedName>
    <definedName name="Z_8545B4E6_A517_4BD7_BFB7_42FEB5F229AD_.wvu.FilterData" localSheetId="2">[1]Groz_NIN_12_2014!#REF!</definedName>
    <definedName name="Z_8545B4E6_A517_4BD7_BFB7_42FEB5F229AD_.wvu.FilterData">[1]Groz_NIN_12_2014!#REF!</definedName>
    <definedName name="Z_877A1030_2452_46B0_88DF_8A068656C08E_.wvu.FilterData" localSheetId="6">[1]Groz_NIN_12_2014!#REF!</definedName>
    <definedName name="Z_877A1030_2452_46B0_88DF_8A068656C08E_.wvu.FilterData" localSheetId="2">[1]Groz_NIN_12_2014!#REF!</definedName>
    <definedName name="Z_877A1030_2452_46B0_88DF_8A068656C08E_.wvu.FilterData">[1]Groz_NIN_12_2014!#REF!</definedName>
    <definedName name="Z_ABD8A783_3A6C_4629_9559_1E4E89E80131_.wvu.FilterData" localSheetId="6">[1]Groz_NIN_12_2014!#REF!</definedName>
    <definedName name="Z_ABD8A783_3A6C_4629_9559_1E4E89E80131_.wvu.FilterData" localSheetId="2">[1]Groz_NIN_12_2014!#REF!</definedName>
    <definedName name="Z_ABD8A783_3A6C_4629_9559_1E4E89E80131_.wvu.FilterData">[1]Groz_NIN_12_2014!#REF!</definedName>
    <definedName name="Z_AF277C95_CBD9_4696_AC72_D010599E9831_.wvu.FilterData" localSheetId="6">[1]Groz_NIN_12_2014!#REF!</definedName>
    <definedName name="Z_AF277C95_CBD9_4696_AC72_D010599E9831_.wvu.FilterData" localSheetId="2">[1]Groz_NIN_12_2014!#REF!</definedName>
    <definedName name="Z_AF277C95_CBD9_4696_AC72_D010599E9831_.wvu.FilterData">[1]Groz_NIN_12_2014!#REF!</definedName>
    <definedName name="Z_B7CBCF06_FF41_423A_9AB3_E1D1F70C6FC5_.wvu.FilterData" localSheetId="6">[1]Groz_NIN_12_2014!#REF!</definedName>
    <definedName name="Z_B7CBCF06_FF41_423A_9AB3_E1D1F70C6FC5_.wvu.FilterData" localSheetId="2">[1]Groz_NIN_12_2014!#REF!</definedName>
    <definedName name="Z_B7CBCF06_FF41_423A_9AB3_E1D1F70C6FC5_.wvu.FilterData">[1]Groz_NIN_12_2014!#REF!</definedName>
    <definedName name="Z_C5511FB8_86C5_41F3_ADCD_B10310F066F5_.wvu.FilterData" localSheetId="6">[1]Groz_NIN_12_2014!#REF!</definedName>
    <definedName name="Z_C5511FB8_86C5_41F3_ADCD_B10310F066F5_.wvu.FilterData" localSheetId="2">[1]Groz_NIN_12_2014!#REF!</definedName>
    <definedName name="Z_C5511FB8_86C5_41F3_ADCD_B10310F066F5_.wvu.FilterData">[1]Groz_NIN_12_2014!#REF!</definedName>
    <definedName name="Z_DB8ECBD1_2D44_4F97_BCC9_F610BA0A3109_.wvu.FilterData" localSheetId="6">[1]Groz_NIN_12_2014!#REF!</definedName>
    <definedName name="Z_DB8ECBD1_2D44_4F97_BCC9_F610BA0A3109_.wvu.FilterData" localSheetId="2">[1]Groz_NIN_12_2014!#REF!</definedName>
    <definedName name="Z_DB8ECBD1_2D44_4F97_BCC9_F610BA0A3109_.wvu.FilterData">[1]Groz_NIN_12_2014!#REF!</definedName>
    <definedName name="Z_DEE3A27E_689A_4E9F_A3EB_C84F1E3B413E_.wvu.FilterData" localSheetId="6">[1]Groz_NIN_12_2014!#REF!</definedName>
    <definedName name="Z_DEE3A27E_689A_4E9F_A3EB_C84F1E3B413E_.wvu.FilterData" localSheetId="2">[1]Groz_NIN_12_2014!#REF!</definedName>
    <definedName name="Z_DEE3A27E_689A_4E9F_A3EB_C84F1E3B413E_.wvu.FilterData">[1]Groz_NIN_12_2014!#REF!</definedName>
    <definedName name="Z_F1F489B9_0F61_4F1F_A151_75EF77465344_.wvu.Cols" localSheetId="6">[1]Groz_NIN_12_2014!#REF!</definedName>
    <definedName name="Z_F1F489B9_0F61_4F1F_A151_75EF77465344_.wvu.Cols" localSheetId="2">[1]Groz_NIN_12_2014!#REF!</definedName>
    <definedName name="Z_F1F489B9_0F61_4F1F_A151_75EF77465344_.wvu.Cols">[1]Groz_NIN_12_2014!#REF!</definedName>
    <definedName name="Z_F1F489B9_0F61_4F1F_A151_75EF77465344_.wvu.FilterData" localSheetId="6">[1]Groz_NIN_12_2014!#REF!</definedName>
    <definedName name="Z_F1F489B9_0F61_4F1F_A151_75EF77465344_.wvu.FilterData" localSheetId="2">[1]Groz_NIN_12_2014!#REF!</definedName>
    <definedName name="Z_F1F489B9_0F61_4F1F_A151_75EF77465344_.wvu.FilterData">[1]Groz_NIN_12_2014!#REF!</definedName>
    <definedName name="Z_F1F489B9_0F61_4F1F_A151_75EF77465344_.wvu.PrintArea" localSheetId="6">[1]Groz_NIN_12_2014!#REF!</definedName>
    <definedName name="Z_F1F489B9_0F61_4F1F_A151_75EF77465344_.wvu.PrintArea" localSheetId="2">[1]Groz_NIN_12_2014!#REF!</definedName>
    <definedName name="Z_F1F489B9_0F61_4F1F_A151_75EF77465344_.wvu.PrintArea">[1]Groz_NIN_12_2014!#REF!</definedName>
    <definedName name="Z_F1F489B9_0F61_4F1F_A151_75EF77465344_.wvu.PrintTitles" localSheetId="6">[1]Groz_NIN_12_2014!#REF!</definedName>
    <definedName name="Z_F1F489B9_0F61_4F1F_A151_75EF77465344_.wvu.PrintTitles" localSheetId="2">[1]Groz_NIN_12_2014!#REF!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7" i="118" l="1"/>
  <c r="J177" i="118"/>
  <c r="J176" i="118"/>
  <c r="J175" i="118"/>
  <c r="H175" i="118" s="1"/>
  <c r="J174" i="118"/>
  <c r="H174" i="118" s="1"/>
  <c r="H176" i="118"/>
  <c r="F36" i="118" l="1"/>
  <c r="H53" i="118" l="1"/>
  <c r="X132" i="72" l="1"/>
  <c r="K179" i="118" l="1"/>
  <c r="H167" i="118"/>
  <c r="H166" i="118"/>
  <c r="H165" i="118"/>
  <c r="H164" i="118"/>
  <c r="H163" i="118"/>
  <c r="H162" i="118"/>
  <c r="H136" i="118"/>
  <c r="H135" i="118"/>
  <c r="H134" i="118"/>
  <c r="H132" i="118"/>
  <c r="H131" i="118"/>
  <c r="H130" i="118"/>
  <c r="H129" i="118"/>
  <c r="H127" i="118"/>
  <c r="H126" i="118"/>
  <c r="H125" i="118"/>
  <c r="H124" i="118"/>
  <c r="H123" i="118"/>
  <c r="H122" i="118"/>
  <c r="H121" i="118"/>
  <c r="H120" i="118"/>
  <c r="H119" i="118"/>
  <c r="H118" i="118"/>
  <c r="H117" i="118"/>
  <c r="H116" i="118"/>
  <c r="H115" i="118"/>
  <c r="H100" i="118"/>
  <c r="H99" i="118"/>
  <c r="H98" i="118"/>
  <c r="H97" i="118"/>
  <c r="H96" i="118"/>
  <c r="H95" i="118"/>
  <c r="H94" i="118"/>
  <c r="H93" i="118"/>
  <c r="H92" i="118"/>
  <c r="H91" i="118"/>
  <c r="H90" i="118"/>
  <c r="H89" i="118"/>
  <c r="H88" i="118"/>
  <c r="H87" i="118"/>
  <c r="H86" i="118"/>
  <c r="H85" i="118"/>
  <c r="H84" i="118"/>
  <c r="J56" i="118"/>
  <c r="N36" i="118"/>
  <c r="H65" i="118"/>
  <c r="H62" i="118"/>
  <c r="J46" i="118" l="1"/>
  <c r="H46" i="118" s="1"/>
  <c r="F33" i="118"/>
  <c r="F37" i="118" l="1"/>
  <c r="F38" i="118" s="1"/>
  <c r="AE132" i="72" l="1"/>
  <c r="L101" i="118"/>
  <c r="H101" i="118" s="1"/>
  <c r="B132" i="118" l="1"/>
  <c r="J179" i="118"/>
  <c r="F26" i="118" l="1"/>
  <c r="I4" i="105" l="1"/>
  <c r="J211" i="118" l="1"/>
  <c r="H250" i="118" l="1"/>
  <c r="H249" i="118"/>
  <c r="H248" i="118"/>
  <c r="H247" i="118"/>
  <c r="H246" i="118"/>
  <c r="H245" i="118"/>
  <c r="H244" i="118"/>
  <c r="H114" i="118"/>
  <c r="H113" i="118"/>
  <c r="H112" i="118"/>
  <c r="H111" i="118"/>
  <c r="H108" i="118"/>
  <c r="L110" i="118"/>
  <c r="H110" i="118" s="1"/>
  <c r="L109" i="118"/>
  <c r="H242" i="118"/>
  <c r="H241" i="118"/>
  <c r="H240" i="118"/>
  <c r="H239" i="118"/>
  <c r="H238" i="118"/>
  <c r="H237" i="118"/>
  <c r="H236" i="118"/>
  <c r="H235" i="118"/>
  <c r="H106" i="118"/>
  <c r="H234" i="118"/>
  <c r="H105" i="118"/>
  <c r="H107" i="118"/>
  <c r="H104" i="118"/>
  <c r="H103" i="118"/>
  <c r="H102" i="118"/>
  <c r="H233" i="118"/>
  <c r="H232" i="118"/>
  <c r="H230" i="118"/>
  <c r="H229" i="118"/>
  <c r="H228" i="118"/>
  <c r="H226" i="118"/>
  <c r="H225" i="118"/>
  <c r="H224" i="118"/>
  <c r="H223" i="118"/>
  <c r="H173" i="118"/>
  <c r="H172" i="118"/>
  <c r="H171" i="118"/>
  <c r="H170" i="118"/>
  <c r="H169" i="118"/>
  <c r="H66" i="118"/>
  <c r="H222" i="118"/>
  <c r="H221" i="118"/>
  <c r="H220" i="118"/>
  <c r="H219" i="118"/>
  <c r="H218" i="118"/>
  <c r="H217" i="118"/>
  <c r="H216" i="118"/>
  <c r="H215" i="118"/>
  <c r="H214" i="118"/>
  <c r="H213" i="118"/>
  <c r="H212" i="118"/>
  <c r="H210" i="118"/>
  <c r="H209" i="118"/>
  <c r="H208" i="118"/>
  <c r="H207" i="118"/>
  <c r="H206" i="118"/>
  <c r="H204" i="118"/>
  <c r="H203" i="118"/>
  <c r="H202" i="118"/>
  <c r="H201" i="118"/>
  <c r="H68" i="118"/>
  <c r="H199" i="118"/>
  <c r="H200" i="118"/>
  <c r="H155" i="118"/>
  <c r="H156" i="118"/>
  <c r="H157" i="118"/>
  <c r="H158" i="118"/>
  <c r="H159" i="118"/>
  <c r="H160" i="118"/>
  <c r="H154" i="118"/>
  <c r="H153" i="118"/>
  <c r="H152" i="118"/>
  <c r="H198" i="118"/>
  <c r="H151" i="118"/>
  <c r="H197" i="118"/>
  <c r="H196" i="118"/>
  <c r="H195" i="118"/>
  <c r="H194" i="118"/>
  <c r="H193" i="118"/>
  <c r="H192" i="118"/>
  <c r="H190" i="118"/>
  <c r="H150" i="118"/>
  <c r="H149" i="118"/>
  <c r="H148" i="118"/>
  <c r="H147" i="118"/>
  <c r="H146" i="118"/>
  <c r="H145" i="118"/>
  <c r="H144" i="118"/>
  <c r="H143" i="118"/>
  <c r="H142" i="118"/>
  <c r="H141" i="118"/>
  <c r="H140" i="118"/>
  <c r="H138" i="118"/>
  <c r="H137" i="118"/>
  <c r="H187" i="118"/>
  <c r="H189" i="118"/>
  <c r="H188" i="118"/>
  <c r="H184" i="118"/>
  <c r="H185" i="118"/>
  <c r="H183" i="118"/>
  <c r="H109" i="118" l="1"/>
  <c r="L179" i="118"/>
  <c r="N37" i="118" l="1"/>
  <c r="AE62" i="72"/>
  <c r="X62" i="72"/>
  <c r="X180" i="72" s="1"/>
  <c r="L29" i="118" s="1"/>
  <c r="L33" i="118" l="1"/>
  <c r="K55" i="118" l="1"/>
  <c r="H56" i="118"/>
  <c r="K77" i="118"/>
  <c r="H67" i="118" l="1"/>
  <c r="J64" i="118" l="1"/>
  <c r="H74" i="118" l="1"/>
  <c r="K73" i="118" l="1"/>
  <c r="K72" i="118"/>
  <c r="K251" i="118" l="1"/>
  <c r="H71" i="118"/>
  <c r="L55" i="118"/>
  <c r="H55" i="118" s="1"/>
  <c r="H64" i="118"/>
  <c r="K61" i="118" l="1"/>
  <c r="K47" i="118"/>
  <c r="J186" i="118"/>
  <c r="H186" i="118" l="1"/>
  <c r="L37" i="118"/>
  <c r="J61" i="118" l="1"/>
  <c r="J78" i="118" s="1"/>
  <c r="K60" i="118" l="1"/>
  <c r="L60" i="118" s="1"/>
  <c r="H60" i="118" l="1"/>
  <c r="L52" i="118"/>
  <c r="L78" i="118" s="1"/>
  <c r="K52" i="118" l="1"/>
  <c r="H52" i="118" l="1"/>
  <c r="K78" i="118"/>
  <c r="AI145" i="72" l="1"/>
  <c r="AI149" i="72"/>
  <c r="AE48" i="72"/>
  <c r="AE50" i="72"/>
  <c r="AF50" i="72" s="1"/>
  <c r="L48" i="72"/>
  <c r="L50" i="72"/>
  <c r="AC51" i="72" l="1"/>
  <c r="AE51" i="72"/>
  <c r="Y51" i="72"/>
  <c r="AB51" i="72"/>
  <c r="X51" i="72"/>
  <c r="AA51" i="72"/>
  <c r="AD51" i="72"/>
  <c r="Z51" i="72"/>
  <c r="AF51" i="72" l="1"/>
  <c r="L166" i="72"/>
  <c r="Y167" i="72" s="1"/>
  <c r="AF166" i="72"/>
  <c r="AF165" i="72"/>
  <c r="AF164" i="72"/>
  <c r="AF163" i="72"/>
  <c r="AF162" i="72"/>
  <c r="AF161" i="72"/>
  <c r="AF160" i="72"/>
  <c r="AF158" i="72"/>
  <c r="AA167" i="72" l="1"/>
  <c r="X167" i="72"/>
  <c r="AE167" i="72"/>
  <c r="AD167" i="72"/>
  <c r="Z167" i="72"/>
  <c r="AB167" i="72"/>
  <c r="AC167" i="72"/>
  <c r="AF167" i="72" l="1"/>
  <c r="L28" i="72"/>
  <c r="L46" i="72"/>
  <c r="L44" i="72"/>
  <c r="L42" i="72"/>
  <c r="L40" i="72"/>
  <c r="L36" i="72"/>
  <c r="L34" i="72"/>
  <c r="L32" i="72"/>
  <c r="Y180" i="72" l="1"/>
  <c r="Z180" i="72"/>
  <c r="AA180" i="72"/>
  <c r="AB180" i="72"/>
  <c r="AC180" i="72"/>
  <c r="AD180" i="72"/>
  <c r="AE180" i="72"/>
  <c r="L158" i="72"/>
  <c r="W146" i="72"/>
  <c r="X146" i="72"/>
  <c r="Y146" i="72"/>
  <c r="Z146" i="72"/>
  <c r="AA146" i="72"/>
  <c r="AB146" i="72"/>
  <c r="AC146" i="72"/>
  <c r="AD146" i="72"/>
  <c r="AE146" i="72"/>
  <c r="V147" i="72"/>
  <c r="V146" i="72"/>
  <c r="W129" i="72"/>
  <c r="W147" i="72" s="1"/>
  <c r="M106" i="72"/>
  <c r="L106" i="72"/>
  <c r="M138" i="72"/>
  <c r="L138" i="72"/>
  <c r="M136" i="72"/>
  <c r="L136" i="72"/>
  <c r="M134" i="72"/>
  <c r="L134" i="72"/>
  <c r="M132" i="72"/>
  <c r="L132" i="72"/>
  <c r="M130" i="72"/>
  <c r="L130" i="72"/>
  <c r="M128" i="72"/>
  <c r="L128" i="72"/>
  <c r="M126" i="72"/>
  <c r="L126" i="72"/>
  <c r="M124" i="72"/>
  <c r="L124" i="72"/>
  <c r="M122" i="72"/>
  <c r="L122" i="72"/>
  <c r="M120" i="72"/>
  <c r="L120" i="72"/>
  <c r="M118" i="72"/>
  <c r="L118" i="72"/>
  <c r="M116" i="72"/>
  <c r="L116" i="72"/>
  <c r="M114" i="72"/>
  <c r="L114" i="72"/>
  <c r="M112" i="72"/>
  <c r="L112" i="72"/>
  <c r="M110" i="72"/>
  <c r="L110" i="72"/>
  <c r="M108" i="72"/>
  <c r="L108" i="72"/>
  <c r="M104" i="72"/>
  <c r="L104" i="72"/>
  <c r="M102" i="72"/>
  <c r="L102" i="72"/>
  <c r="M100" i="72"/>
  <c r="L100" i="72"/>
  <c r="M98" i="72"/>
  <c r="L98" i="72"/>
  <c r="M96" i="72"/>
  <c r="L96" i="72"/>
  <c r="M94" i="72"/>
  <c r="L94" i="72"/>
  <c r="M92" i="72"/>
  <c r="L92" i="72"/>
  <c r="M90" i="72"/>
  <c r="L90" i="72"/>
  <c r="M88" i="72"/>
  <c r="L88" i="72"/>
  <c r="M86" i="72"/>
  <c r="L86" i="72"/>
  <c r="M84" i="72"/>
  <c r="L84" i="72"/>
  <c r="M82" i="72"/>
  <c r="L82" i="72"/>
  <c r="M80" i="72"/>
  <c r="L80" i="72"/>
  <c r="M78" i="72"/>
  <c r="L78" i="72"/>
  <c r="M76" i="72"/>
  <c r="L76" i="72"/>
  <c r="M74" i="72"/>
  <c r="L74" i="72"/>
  <c r="M72" i="72"/>
  <c r="L72" i="72"/>
  <c r="M70" i="72"/>
  <c r="L70" i="72"/>
  <c r="L10" i="72"/>
  <c r="V142" i="72"/>
  <c r="W142" i="72"/>
  <c r="X142" i="72"/>
  <c r="Y142" i="72"/>
  <c r="Z142" i="72"/>
  <c r="AA142" i="72"/>
  <c r="AB142" i="72"/>
  <c r="AC142" i="72"/>
  <c r="AD142" i="72"/>
  <c r="AE142" i="72"/>
  <c r="U142" i="72"/>
  <c r="U150" i="72" s="1"/>
  <c r="L68" i="72"/>
  <c r="AB69" i="72" s="1"/>
  <c r="L66" i="72"/>
  <c r="AA67" i="72" s="1"/>
  <c r="L64" i="72"/>
  <c r="Z65" i="72" s="1"/>
  <c r="L62" i="72"/>
  <c r="Z63" i="72" s="1"/>
  <c r="L60" i="72"/>
  <c r="AC61" i="72" s="1"/>
  <c r="L58" i="72"/>
  <c r="Z59" i="72" s="1"/>
  <c r="L56" i="72"/>
  <c r="Y57" i="72" s="1"/>
  <c r="L54" i="72"/>
  <c r="W55" i="72" s="1"/>
  <c r="AE49" i="72"/>
  <c r="V49" i="72"/>
  <c r="W49" i="72"/>
  <c r="X49" i="72"/>
  <c r="Y49" i="72"/>
  <c r="Z49" i="72"/>
  <c r="AA49" i="72"/>
  <c r="AB49" i="72"/>
  <c r="AC49" i="72"/>
  <c r="AD49" i="72"/>
  <c r="U49" i="72"/>
  <c r="L30" i="72"/>
  <c r="L22" i="72"/>
  <c r="L20" i="72"/>
  <c r="L18" i="72"/>
  <c r="L16" i="72"/>
  <c r="L14" i="72"/>
  <c r="L12" i="72"/>
  <c r="AC87" i="72" l="1"/>
  <c r="AB103" i="72"/>
  <c r="AA117" i="72"/>
  <c r="AC137" i="72"/>
  <c r="AD150" i="72"/>
  <c r="Y159" i="72"/>
  <c r="AC159" i="72"/>
  <c r="X159" i="72"/>
  <c r="AB159" i="72"/>
  <c r="Z159" i="72"/>
  <c r="AD159" i="72"/>
  <c r="AA159" i="72"/>
  <c r="AE159" i="72"/>
  <c r="Z150" i="72"/>
  <c r="AB85" i="72"/>
  <c r="Z115" i="72"/>
  <c r="Y89" i="72"/>
  <c r="AE119" i="72"/>
  <c r="Y73" i="72"/>
  <c r="Z77" i="72"/>
  <c r="Y81" i="72"/>
  <c r="Y85" i="72"/>
  <c r="AB89" i="72"/>
  <c r="Y93" i="72"/>
  <c r="Y97" i="72"/>
  <c r="Z101" i="72"/>
  <c r="AB105" i="72"/>
  <c r="Y111" i="72"/>
  <c r="AE115" i="72"/>
  <c r="Z119" i="72"/>
  <c r="AE123" i="72"/>
  <c r="AE127" i="72"/>
  <c r="Z131" i="72"/>
  <c r="Y135" i="72"/>
  <c r="AA139" i="72"/>
  <c r="X107" i="72"/>
  <c r="Y71" i="72"/>
  <c r="Y75" i="72"/>
  <c r="Z79" i="72"/>
  <c r="AB91" i="72"/>
  <c r="AB95" i="72"/>
  <c r="AB109" i="72"/>
  <c r="AB113" i="72"/>
  <c r="AB117" i="72"/>
  <c r="AA121" i="72"/>
  <c r="AA125" i="72"/>
  <c r="AD129" i="72"/>
  <c r="AC133" i="72"/>
  <c r="AD137" i="72"/>
  <c r="AC101" i="72"/>
  <c r="AD107" i="72"/>
  <c r="Y105" i="72"/>
  <c r="AD111" i="72"/>
  <c r="AB135" i="72"/>
  <c r="X71" i="72"/>
  <c r="X75" i="72"/>
  <c r="Y79" i="72"/>
  <c r="Z125" i="72"/>
  <c r="AC129" i="72"/>
  <c r="Y150" i="72"/>
  <c r="AA73" i="72"/>
  <c r="AB77" i="72"/>
  <c r="AA81" i="72"/>
  <c r="AB97" i="72"/>
  <c r="AA107" i="72"/>
  <c r="Z121" i="72"/>
  <c r="Z127" i="72"/>
  <c r="AC131" i="72"/>
  <c r="X150" i="72"/>
  <c r="AE73" i="72"/>
  <c r="X77" i="72"/>
  <c r="AB81" i="72"/>
  <c r="AC85" i="72"/>
  <c r="AC89" i="72"/>
  <c r="AC93" i="72"/>
  <c r="AC97" i="72"/>
  <c r="AD101" i="72"/>
  <c r="AC105" i="72"/>
  <c r="AB93" i="72"/>
  <c r="Z107" i="72"/>
  <c r="AE105" i="72"/>
  <c r="Z123" i="72"/>
  <c r="AC150" i="72"/>
  <c r="AB150" i="72"/>
  <c r="Z71" i="72"/>
  <c r="Z75" i="72"/>
  <c r="AA79" i="72"/>
  <c r="Z83" i="72"/>
  <c r="AA87" i="72"/>
  <c r="Z91" i="72"/>
  <c r="Z95" i="72"/>
  <c r="Z99" i="72"/>
  <c r="Z103" i="72"/>
  <c r="AE109" i="72"/>
  <c r="Y113" i="72"/>
  <c r="Y117" i="72"/>
  <c r="X121" i="72"/>
  <c r="X125" i="72"/>
  <c r="AA129" i="72"/>
  <c r="Z133" i="72"/>
  <c r="AA137" i="72"/>
  <c r="AC71" i="72"/>
  <c r="AC75" i="72"/>
  <c r="AD79" i="72"/>
  <c r="AB83" i="72"/>
  <c r="AB99" i="72"/>
  <c r="AE107" i="72"/>
  <c r="Y109" i="72"/>
  <c r="AA113" i="72"/>
  <c r="AB133" i="72"/>
  <c r="AB87" i="72"/>
  <c r="X87" i="72"/>
  <c r="AE95" i="72"/>
  <c r="AA95" i="72"/>
  <c r="AE99" i="72"/>
  <c r="AA99" i="72"/>
  <c r="AE103" i="72"/>
  <c r="AA103" i="72"/>
  <c r="AB71" i="72"/>
  <c r="AE75" i="72"/>
  <c r="AC79" i="72"/>
  <c r="AD109" i="72"/>
  <c r="Z137" i="72"/>
  <c r="AE137" i="72"/>
  <c r="AA83" i="72"/>
  <c r="AE83" i="72"/>
  <c r="AA91" i="72"/>
  <c r="AE91" i="72"/>
  <c r="AE71" i="72"/>
  <c r="AB75" i="72"/>
  <c r="X79" i="72"/>
  <c r="Y83" i="72"/>
  <c r="Z87" i="72"/>
  <c r="Y91" i="72"/>
  <c r="Y95" i="72"/>
  <c r="Y99" i="72"/>
  <c r="Y103" i="72"/>
  <c r="AE113" i="72"/>
  <c r="X117" i="72"/>
  <c r="AE121" i="72"/>
  <c r="AE125" i="72"/>
  <c r="Z129" i="72"/>
  <c r="Y133" i="72"/>
  <c r="Z73" i="72"/>
  <c r="AD73" i="72"/>
  <c r="AA77" i="72"/>
  <c r="AE77" i="72"/>
  <c r="Z81" i="72"/>
  <c r="AD81" i="72"/>
  <c r="AE81" i="72"/>
  <c r="Z85" i="72"/>
  <c r="AD85" i="72"/>
  <c r="AA85" i="72"/>
  <c r="AE85" i="72"/>
  <c r="Z89" i="72"/>
  <c r="AD89" i="72"/>
  <c r="AE89" i="72"/>
  <c r="AA89" i="72"/>
  <c r="Z93" i="72"/>
  <c r="AD93" i="72"/>
  <c r="AE93" i="72"/>
  <c r="AA93" i="72"/>
  <c r="Z97" i="72"/>
  <c r="AD97" i="72"/>
  <c r="AE97" i="72"/>
  <c r="AA97" i="72"/>
  <c r="AA101" i="72"/>
  <c r="AE101" i="72"/>
  <c r="X101" i="72"/>
  <c r="AB101" i="72"/>
  <c r="Z105" i="72"/>
  <c r="AD105" i="72"/>
  <c r="AA105" i="72"/>
  <c r="AA111" i="72"/>
  <c r="X111" i="72"/>
  <c r="AE111" i="72"/>
  <c r="AB111" i="72"/>
  <c r="X115" i="72"/>
  <c r="AB115" i="72"/>
  <c r="Y115" i="72"/>
  <c r="AC115" i="72"/>
  <c r="X119" i="72"/>
  <c r="AB119" i="72"/>
  <c r="Y119" i="72"/>
  <c r="AC119" i="72"/>
  <c r="X123" i="72"/>
  <c r="AB123" i="72"/>
  <c r="Y123" i="72"/>
  <c r="AC123" i="72"/>
  <c r="X127" i="72"/>
  <c r="AB127" i="72"/>
  <c r="Y127" i="72"/>
  <c r="AC127" i="72"/>
  <c r="AA131" i="72"/>
  <c r="AE131" i="72"/>
  <c r="AB131" i="72"/>
  <c r="X131" i="72"/>
  <c r="Z135" i="72"/>
  <c r="AD135" i="72"/>
  <c r="AA135" i="72"/>
  <c r="X135" i="72"/>
  <c r="Y139" i="72"/>
  <c r="AC139" i="72"/>
  <c r="X139" i="72"/>
  <c r="Z139" i="72"/>
  <c r="AD139" i="72"/>
  <c r="AA71" i="72"/>
  <c r="AC73" i="72"/>
  <c r="X73" i="72"/>
  <c r="AA75" i="72"/>
  <c r="AD77" i="72"/>
  <c r="Y77" i="72"/>
  <c r="AB79" i="72"/>
  <c r="AC81" i="72"/>
  <c r="X81" i="72"/>
  <c r="X83" i="72"/>
  <c r="X85" i="72"/>
  <c r="Y87" i="72"/>
  <c r="X89" i="72"/>
  <c r="X91" i="72"/>
  <c r="X93" i="72"/>
  <c r="X95" i="72"/>
  <c r="X97" i="72"/>
  <c r="X99" i="72"/>
  <c r="Y101" i="72"/>
  <c r="X103" i="72"/>
  <c r="X105" i="72"/>
  <c r="AC109" i="72"/>
  <c r="AC111" i="72"/>
  <c r="X113" i="72"/>
  <c r="AD115" i="72"/>
  <c r="AE117" i="72"/>
  <c r="AD119" i="72"/>
  <c r="AD121" i="72"/>
  <c r="AD123" i="72"/>
  <c r="AD125" i="72"/>
  <c r="AD127" i="72"/>
  <c r="Y129" i="72"/>
  <c r="Y131" i="72"/>
  <c r="AE133" i="72"/>
  <c r="AE135" i="72"/>
  <c r="Y137" i="72"/>
  <c r="AE139" i="72"/>
  <c r="AB73" i="72"/>
  <c r="AC77" i="72"/>
  <c r="AC83" i="72"/>
  <c r="AD87" i="72"/>
  <c r="AC91" i="72"/>
  <c r="AC95" i="72"/>
  <c r="AC99" i="72"/>
  <c r="AC103" i="72"/>
  <c r="Z109" i="72"/>
  <c r="Z111" i="72"/>
  <c r="AA115" i="72"/>
  <c r="AA119" i="72"/>
  <c r="AA123" i="72"/>
  <c r="AA127" i="72"/>
  <c r="AD131" i="72"/>
  <c r="AC135" i="72"/>
  <c r="AB139" i="72"/>
  <c r="AC107" i="72"/>
  <c r="Y107" i="72"/>
  <c r="X109" i="72"/>
  <c r="AD113" i="72"/>
  <c r="Z113" i="72"/>
  <c r="AD117" i="72"/>
  <c r="Z117" i="72"/>
  <c r="AC121" i="72"/>
  <c r="Y121" i="72"/>
  <c r="AC125" i="72"/>
  <c r="Y125" i="72"/>
  <c r="X129" i="72"/>
  <c r="AB129" i="72"/>
  <c r="X133" i="72"/>
  <c r="AA133" i="72"/>
  <c r="X137" i="72"/>
  <c r="AB137" i="72"/>
  <c r="AD71" i="72"/>
  <c r="AD75" i="72"/>
  <c r="AE79" i="72"/>
  <c r="AD83" i="72"/>
  <c r="AE87" i="72"/>
  <c r="AD91" i="72"/>
  <c r="AD95" i="72"/>
  <c r="AD99" i="72"/>
  <c r="AD103" i="72"/>
  <c r="AB107" i="72"/>
  <c r="AA109" i="72"/>
  <c r="AC113" i="72"/>
  <c r="AC117" i="72"/>
  <c r="AB121" i="72"/>
  <c r="AB125" i="72"/>
  <c r="AE129" i="72"/>
  <c r="AD133" i="72"/>
  <c r="AE150" i="72"/>
  <c r="AA150" i="72"/>
  <c r="V150" i="72"/>
  <c r="W148" i="72"/>
  <c r="W150" i="72"/>
  <c r="V148" i="72"/>
  <c r="X57" i="72"/>
  <c r="Y59" i="72"/>
  <c r="AC65" i="72"/>
  <c r="V57" i="72"/>
  <c r="AD55" i="72"/>
  <c r="Y55" i="72"/>
  <c r="AA63" i="72"/>
  <c r="AC55" i="72"/>
  <c r="X55" i="72"/>
  <c r="AB57" i="72"/>
  <c r="W63" i="72"/>
  <c r="Y63" i="72"/>
  <c r="Y65" i="72"/>
  <c r="AB55" i="72"/>
  <c r="V55" i="72"/>
  <c r="AC63" i="72"/>
  <c r="X63" i="72"/>
  <c r="AD67" i="72"/>
  <c r="Z55" i="72"/>
  <c r="AE55" i="72"/>
  <c r="AC59" i="72"/>
  <c r="AB63" i="72"/>
  <c r="AE63" i="72"/>
  <c r="Z67" i="72"/>
  <c r="AA69" i="72"/>
  <c r="U55" i="72"/>
  <c r="AA55" i="72"/>
  <c r="AE57" i="72"/>
  <c r="AA57" i="72"/>
  <c r="W57" i="72"/>
  <c r="AB59" i="72"/>
  <c r="X59" i="72"/>
  <c r="AA61" i="72"/>
  <c r="AE61" i="72"/>
  <c r="AD63" i="72"/>
  <c r="V65" i="72"/>
  <c r="AB65" i="72"/>
  <c r="X65" i="72"/>
  <c r="AC67" i="72"/>
  <c r="Y67" i="72"/>
  <c r="AD69" i="72"/>
  <c r="Z69" i="72"/>
  <c r="AB61" i="72"/>
  <c r="AE69" i="72"/>
  <c r="AD57" i="72"/>
  <c r="Z57" i="72"/>
  <c r="W59" i="72"/>
  <c r="AA59" i="72"/>
  <c r="AE59" i="72"/>
  <c r="Z61" i="72"/>
  <c r="AD61" i="72"/>
  <c r="AE65" i="72"/>
  <c r="AA65" i="72"/>
  <c r="W65" i="72"/>
  <c r="AB67" i="72"/>
  <c r="AE67" i="72"/>
  <c r="AC69" i="72"/>
  <c r="Y69" i="72"/>
  <c r="X61" i="72"/>
  <c r="AC57" i="72"/>
  <c r="AD59" i="72"/>
  <c r="W61" i="72"/>
  <c r="Y61" i="72"/>
  <c r="AD65" i="72"/>
  <c r="X67" i="72"/>
  <c r="X69" i="72"/>
  <c r="AF159" i="72" l="1"/>
  <c r="Y147" i="72"/>
  <c r="AC147" i="72"/>
  <c r="Z147" i="72"/>
  <c r="X147" i="72"/>
  <c r="AB147" i="72"/>
  <c r="AE147" i="72"/>
  <c r="AD147" i="72"/>
  <c r="AA147" i="72"/>
  <c r="AD155" i="72" l="1"/>
  <c r="AC155" i="72"/>
  <c r="Z155" i="72"/>
  <c r="AB155" i="72"/>
  <c r="Y155" i="72"/>
  <c r="X155" i="72"/>
  <c r="AC148" i="72"/>
  <c r="Y148" i="72"/>
  <c r="AF147" i="72"/>
  <c r="AI147" i="72" s="1"/>
  <c r="AA155" i="72"/>
  <c r="AE148" i="72"/>
  <c r="AE155" i="72"/>
  <c r="Z148" i="72"/>
  <c r="X148" i="72"/>
  <c r="AD148" i="72"/>
  <c r="AB148" i="72"/>
  <c r="AA148" i="72"/>
  <c r="AF148" i="72" l="1"/>
  <c r="AI148" i="72" s="1"/>
  <c r="F35" i="120" l="1"/>
  <c r="F33" i="120"/>
  <c r="F31" i="120"/>
  <c r="G31" i="120" s="1"/>
  <c r="F29" i="120"/>
  <c r="F27" i="120"/>
  <c r="F25" i="120"/>
  <c r="F23" i="120"/>
  <c r="F21" i="120"/>
  <c r="F19" i="120"/>
  <c r="F17" i="120"/>
  <c r="F13" i="120"/>
  <c r="F11" i="120"/>
  <c r="F9" i="120"/>
  <c r="F7" i="120"/>
  <c r="F14" i="120" l="1"/>
  <c r="F37" i="120" l="1"/>
  <c r="H54" i="118" l="1"/>
  <c r="H51" i="118"/>
  <c r="H49" i="118"/>
  <c r="E5" i="118" l="1"/>
  <c r="E4" i="118"/>
  <c r="E3" i="118"/>
  <c r="E2" i="118"/>
  <c r="E19" i="118" l="1"/>
  <c r="I39" i="102"/>
  <c r="I79" i="105" l="1"/>
  <c r="J79" i="105" s="1"/>
  <c r="AF138" i="72" l="1"/>
  <c r="H70" i="118" l="1"/>
  <c r="E6" i="118" l="1"/>
  <c r="F19" i="118"/>
  <c r="I251" i="118"/>
  <c r="J205" i="118"/>
  <c r="H205" i="118" s="1"/>
  <c r="L36" i="118"/>
  <c r="H77" i="118" l="1"/>
  <c r="H73" i="118"/>
  <c r="H76" i="118"/>
  <c r="H75" i="118"/>
  <c r="H72" i="118"/>
  <c r="H69" i="118"/>
  <c r="H48" i="118" l="1"/>
  <c r="H50" i="118" l="1"/>
  <c r="H57" i="118"/>
  <c r="H58" i="118"/>
  <c r="H59" i="118"/>
  <c r="H63" i="118"/>
  <c r="H61" i="118"/>
  <c r="F14" i="118" s="1"/>
  <c r="H47" i="118"/>
  <c r="H78" i="118" l="1"/>
  <c r="E14" i="118" l="1"/>
  <c r="I143" i="105" l="1"/>
  <c r="D19" i="117" l="1"/>
  <c r="G169" i="101"/>
  <c r="G167" i="101"/>
  <c r="G165" i="101"/>
  <c r="G163" i="101"/>
  <c r="G161" i="101"/>
  <c r="G159" i="101"/>
  <c r="G157" i="101"/>
  <c r="G155" i="101"/>
  <c r="G153" i="101"/>
  <c r="G151" i="101"/>
  <c r="G149" i="101"/>
  <c r="G147" i="101"/>
  <c r="G145" i="101"/>
  <c r="G171" i="101" l="1"/>
  <c r="C298" i="105" l="1"/>
  <c r="D209" i="105"/>
  <c r="C209" i="105"/>
  <c r="D205" i="105"/>
  <c r="I20" i="105" l="1"/>
  <c r="D253" i="105" l="1"/>
  <c r="C92" i="105"/>
  <c r="C106" i="105"/>
  <c r="I296" i="105" l="1"/>
  <c r="J296" i="105" s="1"/>
  <c r="I269" i="105" l="1"/>
  <c r="J269" i="105" s="1"/>
  <c r="I262" i="105" l="1"/>
  <c r="J262" i="105" s="1"/>
  <c r="F23" i="114" l="1"/>
  <c r="F22" i="114"/>
  <c r="F21" i="114"/>
  <c r="F19" i="114"/>
  <c r="F15" i="114"/>
  <c r="F14" i="114"/>
  <c r="F13" i="114"/>
  <c r="F8" i="114"/>
  <c r="F6" i="114"/>
  <c r="F5" i="114"/>
  <c r="F31" i="106"/>
  <c r="F30" i="106"/>
  <c r="F29" i="106"/>
  <c r="H32" i="106" l="1"/>
  <c r="D105" i="105" l="1"/>
  <c r="D284" i="105"/>
  <c r="D283" i="105"/>
  <c r="D241" i="105" l="1"/>
  <c r="I105" i="105"/>
  <c r="J105" i="105" s="1"/>
  <c r="I95" i="105" l="1"/>
  <c r="J95" i="105" s="1"/>
  <c r="D95" i="105"/>
  <c r="D302" i="105" l="1"/>
  <c r="D312" i="105"/>
  <c r="J285" i="105"/>
  <c r="J143" i="105"/>
  <c r="D324" i="105"/>
  <c r="D317" i="105"/>
  <c r="D308" i="105"/>
  <c r="C304" i="105"/>
  <c r="D310" i="105"/>
  <c r="J319" i="105" l="1"/>
  <c r="C313" i="105"/>
  <c r="J311" i="105"/>
  <c r="D311" i="105"/>
  <c r="I302" i="105"/>
  <c r="J302" i="105" s="1"/>
  <c r="D303" i="105"/>
  <c r="D298" i="105"/>
  <c r="C293" i="105"/>
  <c r="D300" i="105"/>
  <c r="D301" i="105"/>
  <c r="D290" i="105"/>
  <c r="C286" i="105"/>
  <c r="C280" i="105"/>
  <c r="J282" i="105"/>
  <c r="D277" i="105"/>
  <c r="D271" i="105"/>
  <c r="C266" i="105"/>
  <c r="D264" i="105"/>
  <c r="C259" i="105"/>
  <c r="D257" i="105"/>
  <c r="D293" i="105" l="1"/>
  <c r="D280" i="105"/>
  <c r="D266" i="105"/>
  <c r="D259" i="105"/>
  <c r="I301" i="105"/>
  <c r="J301" i="105" s="1"/>
  <c r="I303" i="105"/>
  <c r="J303" i="105" s="1"/>
  <c r="J233" i="105"/>
  <c r="D219" i="105"/>
  <c r="I215" i="105"/>
  <c r="J215" i="105" s="1"/>
  <c r="D214" i="105"/>
  <c r="D207" i="105"/>
  <c r="J185" i="105"/>
  <c r="C188" i="105"/>
  <c r="J220" i="105" l="1"/>
  <c r="D220" i="105"/>
  <c r="C179" i="105"/>
  <c r="C202" i="105"/>
  <c r="D248" i="105"/>
  <c r="D246" i="105"/>
  <c r="C242" i="105"/>
  <c r="J229" i="105"/>
  <c r="C227" i="105"/>
  <c r="I214" i="105"/>
  <c r="J214" i="105" s="1"/>
  <c r="I212" i="105"/>
  <c r="J212" i="105" s="1"/>
  <c r="I208" i="105"/>
  <c r="J208" i="105" s="1"/>
  <c r="I213" i="105"/>
  <c r="J213" i="105" s="1"/>
  <c r="I207" i="105"/>
  <c r="J207" i="105" s="1"/>
  <c r="I193" i="105"/>
  <c r="J193" i="105" s="1"/>
  <c r="I160" i="105"/>
  <c r="J160" i="105" s="1"/>
  <c r="C154" i="105"/>
  <c r="D81" i="105" l="1"/>
  <c r="D80" i="105"/>
  <c r="D77" i="105"/>
  <c r="D76" i="105"/>
  <c r="D75" i="105"/>
  <c r="D69" i="105"/>
  <c r="C87" i="105"/>
  <c r="C82" i="105"/>
  <c r="C64" i="105"/>
  <c r="C111" i="105" l="1"/>
  <c r="I121" i="105"/>
  <c r="I122" i="105"/>
  <c r="I123" i="105"/>
  <c r="D92" i="105" l="1"/>
  <c r="G15" i="106" l="1"/>
  <c r="F14" i="106"/>
  <c r="F12" i="106"/>
  <c r="F9" i="106"/>
  <c r="F8" i="106"/>
  <c r="F7" i="106"/>
  <c r="F5" i="106"/>
  <c r="I4" i="106"/>
  <c r="F4" i="106"/>
  <c r="I3" i="106"/>
  <c r="F3" i="106"/>
  <c r="G9" i="106" l="1"/>
  <c r="F25" i="106"/>
  <c r="I5" i="106"/>
  <c r="D202" i="105" l="1"/>
  <c r="D203" i="105" s="1"/>
  <c r="I329" i="105"/>
  <c r="J329" i="105" s="1"/>
  <c r="I322" i="105"/>
  <c r="J322" i="105" s="1"/>
  <c r="D320" i="105"/>
  <c r="I316" i="105"/>
  <c r="J316" i="105" s="1"/>
  <c r="I308" i="105"/>
  <c r="J308" i="105" s="1"/>
  <c r="I298" i="105"/>
  <c r="J298" i="105" s="1"/>
  <c r="I295" i="105"/>
  <c r="J295" i="105" s="1"/>
  <c r="I280" i="105"/>
  <c r="I268" i="105"/>
  <c r="J268" i="105" s="1"/>
  <c r="I258" i="105"/>
  <c r="J258" i="105" s="1"/>
  <c r="I256" i="105"/>
  <c r="J256" i="105" s="1"/>
  <c r="I252" i="105"/>
  <c r="J252" i="105" s="1"/>
  <c r="I251" i="105"/>
  <c r="J251" i="105" s="1"/>
  <c r="I234" i="105"/>
  <c r="J234" i="105" s="1"/>
  <c r="D230" i="105"/>
  <c r="I228" i="105"/>
  <c r="J228" i="105" s="1"/>
  <c r="D227" i="105"/>
  <c r="I226" i="105"/>
  <c r="J226" i="105" s="1"/>
  <c r="I225" i="105"/>
  <c r="J225" i="105" s="1"/>
  <c r="I224" i="105"/>
  <c r="J224" i="105" s="1"/>
  <c r="D223" i="105"/>
  <c r="I221" i="105"/>
  <c r="J221" i="105" s="1"/>
  <c r="D217" i="105"/>
  <c r="I218" i="105"/>
  <c r="J218" i="105" s="1"/>
  <c r="K215" i="105"/>
  <c r="I204" i="105"/>
  <c r="J204" i="105" s="1"/>
  <c r="K192" i="105"/>
  <c r="I186" i="105"/>
  <c r="J186" i="105" s="1"/>
  <c r="D179" i="105"/>
  <c r="I177" i="105"/>
  <c r="J177" i="105" s="1"/>
  <c r="I176" i="105"/>
  <c r="J176" i="105" s="1"/>
  <c r="D174" i="105"/>
  <c r="I172" i="105"/>
  <c r="J172" i="105" s="1"/>
  <c r="I171" i="105"/>
  <c r="J171" i="105" s="1"/>
  <c r="I167" i="105"/>
  <c r="J167" i="105" s="1"/>
  <c r="I166" i="105"/>
  <c r="J166" i="105" s="1"/>
  <c r="I165" i="105"/>
  <c r="J165" i="105" s="1"/>
  <c r="I161" i="105"/>
  <c r="J161" i="105" s="1"/>
  <c r="I158" i="105"/>
  <c r="J158" i="105" s="1"/>
  <c r="I144" i="105"/>
  <c r="J144" i="105" s="1"/>
  <c r="I141" i="105"/>
  <c r="J141" i="105" s="1"/>
  <c r="I136" i="105"/>
  <c r="J136" i="105" s="1"/>
  <c r="I135" i="105"/>
  <c r="J135" i="105" s="1"/>
  <c r="I131" i="105"/>
  <c r="J131" i="105" s="1"/>
  <c r="I128" i="105"/>
  <c r="J128" i="105" s="1"/>
  <c r="J123" i="105"/>
  <c r="I109" i="105"/>
  <c r="J109" i="105" s="1"/>
  <c r="I40" i="105"/>
  <c r="J40" i="105" s="1"/>
  <c r="I39" i="105"/>
  <c r="J39" i="105" s="1"/>
  <c r="I37" i="105"/>
  <c r="J37" i="105" s="1"/>
  <c r="I35" i="105"/>
  <c r="J35" i="105" s="1"/>
  <c r="I33" i="105"/>
  <c r="J33" i="105" s="1"/>
  <c r="I32" i="105"/>
  <c r="J32" i="105" s="1"/>
  <c r="I26" i="105"/>
  <c r="I25" i="105"/>
  <c r="J25" i="105" s="1"/>
  <c r="I19" i="105"/>
  <c r="J19" i="105" s="1"/>
  <c r="I18" i="105"/>
  <c r="J18" i="105" s="1"/>
  <c r="I17" i="105"/>
  <c r="J17" i="105" s="1"/>
  <c r="I16" i="105"/>
  <c r="J16" i="105" s="1"/>
  <c r="I15" i="105"/>
  <c r="I10" i="105"/>
  <c r="J10" i="105" s="1"/>
  <c r="I8" i="105"/>
  <c r="J8" i="105" s="1"/>
  <c r="I5" i="105"/>
  <c r="J5" i="105" s="1"/>
  <c r="J4" i="105"/>
  <c r="J280" i="105" l="1"/>
  <c r="I3" i="105"/>
  <c r="I30" i="105"/>
  <c r="J30" i="105" s="1"/>
  <c r="C52" i="105"/>
  <c r="O60" i="105"/>
  <c r="I241" i="105"/>
  <c r="I74" i="105"/>
  <c r="J74" i="105" s="1"/>
  <c r="D64" i="105"/>
  <c r="I29" i="105"/>
  <c r="J29" i="105" s="1"/>
  <c r="I28" i="105"/>
  <c r="J28" i="105" s="1"/>
  <c r="I209" i="105"/>
  <c r="J209" i="105" s="1"/>
  <c r="I219" i="105"/>
  <c r="J219" i="105" s="1"/>
  <c r="D162" i="105"/>
  <c r="I159" i="105"/>
  <c r="J159" i="105" s="1"/>
  <c r="I42" i="105"/>
  <c r="J42" i="105" s="1"/>
  <c r="J122" i="105"/>
  <c r="I138" i="105"/>
  <c r="J138" i="105" s="1"/>
  <c r="I244" i="105"/>
  <c r="J244" i="105" s="1"/>
  <c r="I289" i="105"/>
  <c r="J289" i="105" s="1"/>
  <c r="I52" i="105"/>
  <c r="J52" i="105" s="1"/>
  <c r="I134" i="105"/>
  <c r="J134" i="105" s="1"/>
  <c r="I145" i="105"/>
  <c r="J145" i="105" s="1"/>
  <c r="I7" i="105"/>
  <c r="J7" i="105" s="1"/>
  <c r="D286" i="105"/>
  <c r="I292" i="105"/>
  <c r="J292" i="105" s="1"/>
  <c r="I36" i="105"/>
  <c r="J36" i="105" s="1"/>
  <c r="D82" i="105"/>
  <c r="I152" i="105"/>
  <c r="J152" i="105" s="1"/>
  <c r="I248" i="105"/>
  <c r="J248" i="105" s="1"/>
  <c r="I276" i="105"/>
  <c r="J276" i="105" s="1"/>
  <c r="I328" i="105"/>
  <c r="J328" i="105" s="1"/>
  <c r="I6" i="105"/>
  <c r="J6" i="105" s="1"/>
  <c r="I139" i="105"/>
  <c r="J139" i="105" s="1"/>
  <c r="I263" i="105"/>
  <c r="J263" i="105" s="1"/>
  <c r="I309" i="105"/>
  <c r="J309" i="105" s="1"/>
  <c r="I318" i="105"/>
  <c r="J318" i="105" s="1"/>
  <c r="I197" i="105"/>
  <c r="J197" i="105" s="1"/>
  <c r="D119" i="105"/>
  <c r="I173" i="105"/>
  <c r="J173" i="105" s="1"/>
  <c r="I178" i="105"/>
  <c r="J178" i="105" s="1"/>
  <c r="I190" i="105"/>
  <c r="J190" i="105" s="1"/>
  <c r="I192" i="105"/>
  <c r="J192" i="105" s="1"/>
  <c r="I198" i="105"/>
  <c r="J198" i="105" s="1"/>
  <c r="I290" i="105"/>
  <c r="J290" i="105" s="1"/>
  <c r="I291" i="105"/>
  <c r="J291" i="105" s="1"/>
  <c r="I11" i="105"/>
  <c r="J11" i="105" s="1"/>
  <c r="I14" i="105"/>
  <c r="J14" i="105" s="1"/>
  <c r="I24" i="105"/>
  <c r="J24" i="105" s="1"/>
  <c r="I31" i="105"/>
  <c r="J31" i="105" s="1"/>
  <c r="I126" i="105"/>
  <c r="J126" i="105" s="1"/>
  <c r="I151" i="105"/>
  <c r="J151" i="105" s="1"/>
  <c r="I110" i="105"/>
  <c r="J110" i="105" s="1"/>
  <c r="D70" i="105"/>
  <c r="I108" i="105"/>
  <c r="J108" i="105" s="1"/>
  <c r="J121" i="105"/>
  <c r="I127" i="105"/>
  <c r="J127" i="105" s="1"/>
  <c r="D154" i="105"/>
  <c r="I118" i="105"/>
  <c r="J118" i="105" s="1"/>
  <c r="I130" i="105"/>
  <c r="J130" i="105" s="1"/>
  <c r="I133" i="105"/>
  <c r="J133" i="105" s="1"/>
  <c r="I140" i="105"/>
  <c r="J140" i="105" s="1"/>
  <c r="I142" i="105"/>
  <c r="J142" i="105" s="1"/>
  <c r="I157" i="105"/>
  <c r="J157" i="105" s="1"/>
  <c r="D188" i="105"/>
  <c r="I164" i="105"/>
  <c r="J164" i="105" s="1"/>
  <c r="I168" i="105"/>
  <c r="J168" i="105" s="1"/>
  <c r="D169" i="105"/>
  <c r="I182" i="105"/>
  <c r="J182" i="105" s="1"/>
  <c r="I184" i="105"/>
  <c r="J184" i="105" s="1"/>
  <c r="I206" i="105"/>
  <c r="J206" i="105" s="1"/>
  <c r="D273" i="105"/>
  <c r="I187" i="105"/>
  <c r="J187" i="105" s="1"/>
  <c r="I200" i="105"/>
  <c r="J200" i="105" s="1"/>
  <c r="I247" i="105"/>
  <c r="J247" i="105" s="1"/>
  <c r="I250" i="105"/>
  <c r="J250" i="105" s="1"/>
  <c r="I249" i="105"/>
  <c r="J249" i="105" s="1"/>
  <c r="I299" i="105"/>
  <c r="J299" i="105" s="1"/>
  <c r="I156" i="105"/>
  <c r="J156" i="105" s="1"/>
  <c r="I191" i="105"/>
  <c r="J191" i="105" s="1"/>
  <c r="I216" i="105"/>
  <c r="J216" i="105" s="1"/>
  <c r="I222" i="105"/>
  <c r="J222" i="105" s="1"/>
  <c r="D242" i="105"/>
  <c r="I255" i="105"/>
  <c r="J255" i="105" s="1"/>
  <c r="I281" i="105"/>
  <c r="J281" i="105" s="1"/>
  <c r="I307" i="105"/>
  <c r="J307" i="105" s="1"/>
  <c r="I310" i="105"/>
  <c r="J310" i="105" s="1"/>
  <c r="I217" i="105"/>
  <c r="J217" i="105" s="1"/>
  <c r="I227" i="105"/>
  <c r="J227" i="105" s="1"/>
  <c r="I288" i="105"/>
  <c r="J288" i="105" s="1"/>
  <c r="I330" i="105"/>
  <c r="J330" i="105" s="1"/>
  <c r="I297" i="105"/>
  <c r="J297" i="105" s="1"/>
  <c r="D313" i="105"/>
  <c r="I315" i="105"/>
  <c r="J315" i="105" s="1"/>
  <c r="I325" i="105"/>
  <c r="J325" i="105" s="1"/>
  <c r="I331" i="105"/>
  <c r="J331" i="105" s="1"/>
  <c r="I205" i="105"/>
  <c r="J205" i="105" s="1"/>
  <c r="I232" i="105"/>
  <c r="J232" i="105" s="1"/>
  <c r="I245" i="105"/>
  <c r="J245" i="105" s="1"/>
  <c r="I261" i="105"/>
  <c r="J261" i="105" s="1"/>
  <c r="I265" i="105"/>
  <c r="J265" i="105" s="1"/>
  <c r="I270" i="105"/>
  <c r="J270" i="105" s="1"/>
  <c r="I272" i="105"/>
  <c r="J272" i="105" s="1"/>
  <c r="I275" i="105"/>
  <c r="J275" i="105" s="1"/>
  <c r="I278" i="105"/>
  <c r="J278" i="105" s="1"/>
  <c r="I300" i="105"/>
  <c r="J300" i="105" s="1"/>
  <c r="I306" i="105"/>
  <c r="J306" i="105" s="1"/>
  <c r="D304" i="105"/>
  <c r="I323" i="105"/>
  <c r="J323" i="105" s="1"/>
  <c r="I283" i="105"/>
  <c r="J241" i="105" l="1"/>
  <c r="I38" i="105"/>
  <c r="J38" i="105" s="1"/>
  <c r="D87" i="105"/>
  <c r="O57" i="105"/>
  <c r="J153" i="105"/>
  <c r="D106" i="105"/>
  <c r="I41" i="105"/>
  <c r="J41" i="105" s="1"/>
  <c r="D210" i="105"/>
  <c r="J150" i="105"/>
  <c r="I279" i="105"/>
  <c r="J279" i="105" s="1"/>
  <c r="I34" i="105"/>
  <c r="J34" i="105" s="1"/>
  <c r="I237" i="105"/>
  <c r="J237" i="105" s="1"/>
  <c r="I240" i="105"/>
  <c r="J240" i="105" s="1"/>
  <c r="I149" i="105"/>
  <c r="J149" i="105" s="1"/>
  <c r="I132" i="105"/>
  <c r="J132" i="105" s="1"/>
  <c r="I13" i="105"/>
  <c r="J13" i="105" s="1"/>
  <c r="I199" i="105"/>
  <c r="J199" i="105" s="1"/>
  <c r="I196" i="105"/>
  <c r="J196" i="105" s="1"/>
  <c r="I201" i="105"/>
  <c r="J201" i="105" s="1"/>
  <c r="I137" i="105"/>
  <c r="I9" i="105"/>
  <c r="J9" i="105" s="1"/>
  <c r="I238" i="105"/>
  <c r="J238" i="105" s="1"/>
  <c r="I223" i="105"/>
  <c r="J223" i="105" s="1"/>
  <c r="I129" i="105"/>
  <c r="J129" i="105" s="1"/>
  <c r="J3" i="105"/>
  <c r="K27" i="105" l="1"/>
  <c r="J137" i="105"/>
  <c r="I12" i="105"/>
  <c r="J12" i="105" s="1"/>
  <c r="I2" i="105"/>
  <c r="J2" i="105" s="1"/>
  <c r="I36" i="102"/>
  <c r="I27" i="102"/>
  <c r="I25" i="102"/>
  <c r="I17" i="102"/>
  <c r="I13" i="102"/>
  <c r="I11" i="102"/>
  <c r="I7" i="102"/>
  <c r="I27" i="105" l="1"/>
  <c r="J27" i="105" s="1"/>
  <c r="L24" i="118"/>
  <c r="I38" i="102"/>
  <c r="I40" i="102" s="1"/>
  <c r="I43" i="105" l="1"/>
  <c r="J43" i="105" l="1"/>
  <c r="N24" i="118" s="1"/>
  <c r="C51" i="101" l="1"/>
  <c r="D41" i="101"/>
  <c r="F10" i="101"/>
  <c r="E10" i="101"/>
  <c r="D10" i="101"/>
  <c r="C9" i="101"/>
  <c r="C6" i="101"/>
  <c r="G9" i="101" l="1"/>
  <c r="C10" i="101"/>
  <c r="G10" i="101" s="1"/>
  <c r="G6" i="101"/>
  <c r="I183" i="105" l="1"/>
  <c r="J183" i="105" s="1"/>
  <c r="I181" i="105"/>
  <c r="J181" i="105" s="1"/>
  <c r="D12" i="100"/>
  <c r="C12" i="100"/>
  <c r="I148" i="105" l="1"/>
  <c r="J148" i="105" s="1"/>
  <c r="O52" i="105" l="1"/>
  <c r="C54" i="105"/>
  <c r="E8" i="118"/>
  <c r="F8" i="118" s="1"/>
  <c r="I54" i="105"/>
  <c r="J54" i="105" s="1"/>
  <c r="D111" i="105" l="1"/>
  <c r="I73" i="105" l="1"/>
  <c r="J73" i="105" s="1"/>
  <c r="I96" i="105" l="1"/>
  <c r="J96" i="105" s="1"/>
  <c r="I90" i="105"/>
  <c r="J90" i="105" s="1"/>
  <c r="I81" i="105" l="1"/>
  <c r="J81" i="105" s="1"/>
  <c r="K4" i="105"/>
  <c r="I62" i="105" l="1"/>
  <c r="J62" i="105" s="1"/>
  <c r="C51" i="105" l="1"/>
  <c r="O55" i="105"/>
  <c r="AF136" i="72"/>
  <c r="I51" i="105"/>
  <c r="J51" i="105" s="1"/>
  <c r="AF132" i="72" l="1"/>
  <c r="I115" i="105" l="1"/>
  <c r="J115" i="105" s="1"/>
  <c r="I102" i="105" l="1"/>
  <c r="J102" i="105" s="1"/>
  <c r="K68" i="72" l="1"/>
  <c r="K66" i="72"/>
  <c r="AF68" i="72" l="1"/>
  <c r="AF66" i="72"/>
  <c r="AF69" i="72" l="1"/>
  <c r="I64" i="72" l="1"/>
  <c r="K62" i="72"/>
  <c r="AF130" i="72" l="1"/>
  <c r="AF134" i="72"/>
  <c r="AF127" i="72" l="1"/>
  <c r="AF128" i="72" l="1"/>
  <c r="I68" i="105" l="1"/>
  <c r="J68" i="105" s="1"/>
  <c r="I101" i="105" l="1"/>
  <c r="J101" i="105" s="1"/>
  <c r="I114" i="105"/>
  <c r="J114" i="105" s="1"/>
  <c r="I85" i="105"/>
  <c r="J85" i="105" s="1"/>
  <c r="I86" i="105"/>
  <c r="J86" i="105" s="1"/>
  <c r="I63" i="105" l="1"/>
  <c r="J63" i="105" s="1"/>
  <c r="AF62" i="72" l="1"/>
  <c r="W174" i="72" l="1"/>
  <c r="R142" i="72"/>
  <c r="R146" i="72" s="1"/>
  <c r="Q142" i="72"/>
  <c r="Q146" i="72" s="1"/>
  <c r="K64" i="72"/>
  <c r="K60" i="72"/>
  <c r="K58" i="72"/>
  <c r="K56" i="72"/>
  <c r="K54" i="72"/>
  <c r="K44" i="72"/>
  <c r="K42" i="72"/>
  <c r="K38" i="72"/>
  <c r="K36" i="72"/>
  <c r="I36" i="72"/>
  <c r="M34" i="72"/>
  <c r="K34" i="72"/>
  <c r="I34" i="72"/>
  <c r="E34" i="72"/>
  <c r="M32" i="72"/>
  <c r="M30" i="72"/>
  <c r="K30" i="72"/>
  <c r="I30" i="72"/>
  <c r="M28" i="72"/>
  <c r="K28" i="72"/>
  <c r="M26" i="72"/>
  <c r="M24" i="72"/>
  <c r="K24" i="72"/>
  <c r="M22" i="72"/>
  <c r="I22" i="72"/>
  <c r="M20" i="72"/>
  <c r="K20" i="72"/>
  <c r="M18" i="72"/>
  <c r="K18" i="72"/>
  <c r="M16" i="72"/>
  <c r="J16" i="72"/>
  <c r="K16" i="72" s="1"/>
  <c r="I16" i="72"/>
  <c r="M14" i="72"/>
  <c r="J14" i="72"/>
  <c r="K14" i="72" s="1"/>
  <c r="I14" i="72"/>
  <c r="M12" i="72"/>
  <c r="H12" i="72"/>
  <c r="J12" i="72" s="1"/>
  <c r="K12" i="72" s="1"/>
  <c r="M10" i="72"/>
  <c r="AE11" i="72" s="1"/>
  <c r="H10" i="72"/>
  <c r="I10" i="72" s="1"/>
  <c r="L52" i="72"/>
  <c r="V53" i="72" l="1"/>
  <c r="Z53" i="72"/>
  <c r="AD53" i="72"/>
  <c r="Y53" i="72"/>
  <c r="W53" i="72"/>
  <c r="AA53" i="72"/>
  <c r="U53" i="72"/>
  <c r="AE53" i="72"/>
  <c r="AC53" i="72"/>
  <c r="X53" i="72"/>
  <c r="AB53" i="72"/>
  <c r="X13" i="72"/>
  <c r="U13" i="72"/>
  <c r="AB13" i="72"/>
  <c r="Y13" i="72"/>
  <c r="AA13" i="72"/>
  <c r="Z13" i="72"/>
  <c r="W13" i="72"/>
  <c r="V13" i="72"/>
  <c r="AC13" i="72"/>
  <c r="AE13" i="72"/>
  <c r="AD13" i="72"/>
  <c r="AE19" i="72"/>
  <c r="Y19" i="72"/>
  <c r="AC19" i="72"/>
  <c r="V19" i="72"/>
  <c r="Z19" i="72"/>
  <c r="AD19" i="72"/>
  <c r="X19" i="72"/>
  <c r="AB19" i="72"/>
  <c r="AA19" i="72"/>
  <c r="W19" i="72"/>
  <c r="U19" i="72"/>
  <c r="W23" i="72"/>
  <c r="AE23" i="72"/>
  <c r="AA23" i="72"/>
  <c r="AD23" i="72"/>
  <c r="AB23" i="72"/>
  <c r="X23" i="72"/>
  <c r="Z23" i="72"/>
  <c r="V23" i="72"/>
  <c r="AC23" i="72"/>
  <c r="Y23" i="72"/>
  <c r="U23" i="72"/>
  <c r="X31" i="72"/>
  <c r="AB31" i="72"/>
  <c r="AA31" i="72"/>
  <c r="Y31" i="72"/>
  <c r="AC31" i="72"/>
  <c r="W31" i="72"/>
  <c r="AD31" i="72"/>
  <c r="Z31" i="72"/>
  <c r="AE31" i="72"/>
  <c r="Y29" i="72"/>
  <c r="X29" i="72"/>
  <c r="V29" i="72"/>
  <c r="AA29" i="72"/>
  <c r="AD29" i="72"/>
  <c r="W29" i="72"/>
  <c r="Z29" i="72"/>
  <c r="AB29" i="72"/>
  <c r="AE29" i="72"/>
  <c r="AC29" i="72"/>
  <c r="Z17" i="72"/>
  <c r="U17" i="72"/>
  <c r="AE17" i="72"/>
  <c r="AC17" i="72"/>
  <c r="AB17" i="72"/>
  <c r="AD17" i="72"/>
  <c r="AA17" i="72"/>
  <c r="W17" i="72"/>
  <c r="Y17" i="72"/>
  <c r="X17" i="72"/>
  <c r="V17" i="72"/>
  <c r="W21" i="72"/>
  <c r="U21" i="72"/>
  <c r="AA21" i="72"/>
  <c r="X21" i="72"/>
  <c r="Y21" i="72"/>
  <c r="AD21" i="72"/>
  <c r="AE21" i="72"/>
  <c r="Z21" i="72"/>
  <c r="AB21" i="72"/>
  <c r="V21" i="72"/>
  <c r="AC21" i="72"/>
  <c r="Z15" i="72"/>
  <c r="AD15" i="72"/>
  <c r="V15" i="72"/>
  <c r="AE15" i="72"/>
  <c r="W15" i="72"/>
  <c r="AC15" i="72"/>
  <c r="AB15" i="72"/>
  <c r="U15" i="72"/>
  <c r="Y15" i="72"/>
  <c r="X15" i="72"/>
  <c r="AA15" i="72"/>
  <c r="I117" i="105"/>
  <c r="J117" i="105" s="1"/>
  <c r="AF20" i="72"/>
  <c r="AF76" i="72"/>
  <c r="AF87" i="72"/>
  <c r="AF98" i="72"/>
  <c r="AF104" i="72"/>
  <c r="AF116" i="72"/>
  <c r="AF43" i="72"/>
  <c r="AF80" i="72"/>
  <c r="AF102" i="72"/>
  <c r="AF109" i="72"/>
  <c r="AF14" i="72"/>
  <c r="AF26" i="72"/>
  <c r="AF94" i="72"/>
  <c r="AF100" i="72"/>
  <c r="AF123" i="72"/>
  <c r="AF42" i="72"/>
  <c r="AF64" i="72"/>
  <c r="AF86" i="72"/>
  <c r="AF93" i="72"/>
  <c r="AF108" i="72"/>
  <c r="AF12" i="72"/>
  <c r="AF16" i="72"/>
  <c r="AF46" i="72"/>
  <c r="AF48" i="72"/>
  <c r="AF70" i="72"/>
  <c r="AF72" i="72"/>
  <c r="AF78" i="72"/>
  <c r="AF82" i="72"/>
  <c r="AF85" i="72"/>
  <c r="AF89" i="72"/>
  <c r="AF92" i="72"/>
  <c r="AF96" i="72"/>
  <c r="AF107" i="72"/>
  <c r="AF111" i="72"/>
  <c r="AF114" i="72"/>
  <c r="AF118" i="72"/>
  <c r="AF121" i="72"/>
  <c r="AF125" i="72"/>
  <c r="AF32" i="72"/>
  <c r="AF79" i="72"/>
  <c r="AF90" i="72"/>
  <c r="AF97" i="72"/>
  <c r="AF112" i="72"/>
  <c r="AF115" i="72"/>
  <c r="AF122" i="72"/>
  <c r="AF18" i="72"/>
  <c r="AF24" i="72"/>
  <c r="AF38" i="72"/>
  <c r="AF44" i="72"/>
  <c r="AF74" i="72"/>
  <c r="AF77" i="72"/>
  <c r="AF84" i="72"/>
  <c r="AF88" i="72"/>
  <c r="AF95" i="72"/>
  <c r="AF106" i="72"/>
  <c r="AF110" i="72"/>
  <c r="AF117" i="72"/>
  <c r="AF120" i="72"/>
  <c r="AF124" i="72"/>
  <c r="AF22" i="72"/>
  <c r="I91" i="105"/>
  <c r="J91" i="105" s="1"/>
  <c r="I116" i="105"/>
  <c r="J116" i="105" s="1"/>
  <c r="I103" i="105"/>
  <c r="J103" i="105" s="1"/>
  <c r="I94" i="105"/>
  <c r="J94" i="105" s="1"/>
  <c r="I97" i="105"/>
  <c r="J97" i="105" s="1"/>
  <c r="I67" i="105"/>
  <c r="J67" i="105" s="1"/>
  <c r="I12" i="72"/>
  <c r="J10" i="72"/>
  <c r="K10" i="72" s="1"/>
  <c r="L38" i="72"/>
  <c r="L26" i="72"/>
  <c r="L24" i="72"/>
  <c r="AF126" i="72"/>
  <c r="V174" i="72"/>
  <c r="R151" i="72"/>
  <c r="Q151" i="72"/>
  <c r="AF58" i="72"/>
  <c r="AA33" i="72" l="1"/>
  <c r="AE33" i="72"/>
  <c r="Z33" i="72"/>
  <c r="AB33" i="72"/>
  <c r="X33" i="72"/>
  <c r="AD33" i="72"/>
  <c r="Y33" i="72"/>
  <c r="AC33" i="72"/>
  <c r="Z39" i="72"/>
  <c r="AD39" i="72"/>
  <c r="U39" i="72"/>
  <c r="AC39" i="72"/>
  <c r="AA39" i="72"/>
  <c r="AE39" i="72"/>
  <c r="Y39" i="72"/>
  <c r="X39" i="72"/>
  <c r="AB39" i="72"/>
  <c r="V39" i="72"/>
  <c r="W39" i="72"/>
  <c r="W25" i="72"/>
  <c r="AA25" i="72"/>
  <c r="AE25" i="72"/>
  <c r="Z25" i="72"/>
  <c r="X25" i="72"/>
  <c r="AB25" i="72"/>
  <c r="U25" i="72"/>
  <c r="V25" i="72"/>
  <c r="AD25" i="72"/>
  <c r="Y25" i="72"/>
  <c r="AC25" i="72"/>
  <c r="X27" i="72"/>
  <c r="AB27" i="72"/>
  <c r="V27" i="72"/>
  <c r="AA27" i="72"/>
  <c r="Y27" i="72"/>
  <c r="AC27" i="72"/>
  <c r="W27" i="72"/>
  <c r="Z27" i="72"/>
  <c r="AD27" i="72"/>
  <c r="U27" i="72"/>
  <c r="AE27" i="72"/>
  <c r="W35" i="72"/>
  <c r="AA35" i="72"/>
  <c r="AE35" i="72"/>
  <c r="Z35" i="72"/>
  <c r="X35" i="72"/>
  <c r="AB35" i="72"/>
  <c r="U35" i="72"/>
  <c r="AD35" i="72"/>
  <c r="Y35" i="72"/>
  <c r="AC35" i="72"/>
  <c r="V35" i="72"/>
  <c r="X47" i="72"/>
  <c r="AB47" i="72"/>
  <c r="U47" i="72"/>
  <c r="W47" i="72"/>
  <c r="Y47" i="72"/>
  <c r="AC47" i="72"/>
  <c r="AA47" i="72"/>
  <c r="V47" i="72"/>
  <c r="Z47" i="72"/>
  <c r="AD47" i="72"/>
  <c r="AE47" i="72"/>
  <c r="Y37" i="72"/>
  <c r="AC37" i="72"/>
  <c r="X37" i="72"/>
  <c r="AE37" i="72"/>
  <c r="Z37" i="72"/>
  <c r="AD37" i="72"/>
  <c r="AB37" i="72"/>
  <c r="W37" i="72"/>
  <c r="AA37" i="72"/>
  <c r="V37" i="72"/>
  <c r="Y45" i="72"/>
  <c r="AC45" i="72"/>
  <c r="X45" i="72"/>
  <c r="AE45" i="72"/>
  <c r="V45" i="72"/>
  <c r="Z45" i="72"/>
  <c r="AD45" i="72"/>
  <c r="AB45" i="72"/>
  <c r="W45" i="72"/>
  <c r="AA45" i="72"/>
  <c r="U45" i="72"/>
  <c r="V41" i="72"/>
  <c r="Z41" i="72"/>
  <c r="AD41" i="72"/>
  <c r="Y41" i="72"/>
  <c r="W41" i="72"/>
  <c r="AA41" i="72"/>
  <c r="U41" i="72"/>
  <c r="AC41" i="72"/>
  <c r="X41" i="72"/>
  <c r="AB41" i="72"/>
  <c r="AE41" i="72"/>
  <c r="E10" i="118"/>
  <c r="F10" i="118" s="1"/>
  <c r="AF49" i="72"/>
  <c r="AF30" i="72"/>
  <c r="AF52" i="72"/>
  <c r="AF54" i="72"/>
  <c r="AF40" i="72"/>
  <c r="AF34" i="72"/>
  <c r="AF36" i="72"/>
  <c r="V180" i="72"/>
  <c r="AF60" i="72"/>
  <c r="AF65" i="72"/>
  <c r="I89" i="105"/>
  <c r="J89" i="105" s="1"/>
  <c r="I113" i="105"/>
  <c r="J113" i="105" s="1"/>
  <c r="I60" i="105"/>
  <c r="J60" i="105" s="1"/>
  <c r="I76" i="105"/>
  <c r="J76" i="105" s="1"/>
  <c r="I72" i="105"/>
  <c r="J72" i="105" s="1"/>
  <c r="W180" i="72"/>
  <c r="V168" i="72"/>
  <c r="AE181" i="72" l="1"/>
  <c r="AE143" i="72"/>
  <c r="AF27" i="72"/>
  <c r="AF45" i="72"/>
  <c r="AF25" i="72"/>
  <c r="AF39" i="72"/>
  <c r="AF47" i="72"/>
  <c r="E9" i="118"/>
  <c r="F9" i="118" s="1"/>
  <c r="O53" i="105"/>
  <c r="AF13" i="72"/>
  <c r="AF29" i="72"/>
  <c r="AF37" i="72"/>
  <c r="AF31" i="72"/>
  <c r="AF63" i="72"/>
  <c r="AF53" i="72"/>
  <c r="AF35" i="72"/>
  <c r="AF15" i="72"/>
  <c r="AF41" i="72"/>
  <c r="AF19" i="72"/>
  <c r="AF21" i="72"/>
  <c r="AF61" i="72"/>
  <c r="I55" i="105"/>
  <c r="J55" i="105" s="1"/>
  <c r="C55" i="105"/>
  <c r="I56" i="105"/>
  <c r="J56" i="105" s="1"/>
  <c r="C56" i="105"/>
  <c r="I257" i="105"/>
  <c r="J257" i="105" s="1"/>
  <c r="I317" i="105"/>
  <c r="J317" i="105" s="1"/>
  <c r="I277" i="105"/>
  <c r="J277" i="105" s="1"/>
  <c r="I324" i="105"/>
  <c r="J324" i="105" s="1"/>
  <c r="I104" i="105"/>
  <c r="J104" i="105" s="1"/>
  <c r="AF57" i="72"/>
  <c r="W186" i="72"/>
  <c r="AF28" i="72"/>
  <c r="AF55" i="72"/>
  <c r="AD168" i="72"/>
  <c r="AE168" i="72"/>
  <c r="AF56" i="72"/>
  <c r="AF23" i="72"/>
  <c r="AF17" i="72"/>
  <c r="I100" i="105"/>
  <c r="J100" i="105" s="1"/>
  <c r="I84" i="105"/>
  <c r="J84" i="105" s="1"/>
  <c r="I66" i="105"/>
  <c r="J66" i="105" s="1"/>
  <c r="AC168" i="72"/>
  <c r="I70" i="105" l="1"/>
  <c r="J70" i="105" s="1"/>
  <c r="AE154" i="72"/>
  <c r="AE182" i="72"/>
  <c r="AD182" i="72"/>
  <c r="W168" i="72"/>
  <c r="AC182" i="72"/>
  <c r="AE144" i="72"/>
  <c r="AE151" i="72"/>
  <c r="E11" i="118"/>
  <c r="I78" i="105"/>
  <c r="J78" i="105" s="1"/>
  <c r="O50" i="105"/>
  <c r="O49" i="105"/>
  <c r="I120" i="105"/>
  <c r="I49" i="105"/>
  <c r="J49" i="105" s="1"/>
  <c r="C49" i="105"/>
  <c r="C48" i="105"/>
  <c r="I59" i="105"/>
  <c r="J59" i="105" s="1"/>
  <c r="I48" i="105"/>
  <c r="J48" i="105" s="1"/>
  <c r="I271" i="105"/>
  <c r="J271" i="105" s="1"/>
  <c r="I75" i="105"/>
  <c r="J75" i="105" s="1"/>
  <c r="I246" i="105"/>
  <c r="J246" i="105" s="1"/>
  <c r="I264" i="105"/>
  <c r="J264" i="105" s="1"/>
  <c r="AF33" i="72"/>
  <c r="AF59" i="72"/>
  <c r="AF168" i="72"/>
  <c r="I71" i="105"/>
  <c r="J71" i="105" s="1"/>
  <c r="AF129" i="72"/>
  <c r="V182" i="72"/>
  <c r="AE152" i="72" l="1"/>
  <c r="W182" i="72"/>
  <c r="X168" i="72"/>
  <c r="AF182" i="72"/>
  <c r="AF142" i="72"/>
  <c r="AI142" i="72" s="1"/>
  <c r="I125" i="105"/>
  <c r="J125" i="105" s="1"/>
  <c r="I239" i="105"/>
  <c r="J239" i="105" s="1"/>
  <c r="AF133" i="72"/>
  <c r="I77" i="105"/>
  <c r="J77" i="105" s="1"/>
  <c r="AF137" i="72"/>
  <c r="AF131" i="72"/>
  <c r="AF135" i="72"/>
  <c r="AF73" i="72"/>
  <c r="AF103" i="72"/>
  <c r="AF83" i="72"/>
  <c r="Y168" i="72"/>
  <c r="Y182" i="72" l="1"/>
  <c r="X182" i="72"/>
  <c r="AF139" i="72"/>
  <c r="O48" i="105"/>
  <c r="I53" i="105"/>
  <c r="J53" i="105" s="1"/>
  <c r="C53" i="105"/>
  <c r="I119" i="105"/>
  <c r="J119" i="105" s="1"/>
  <c r="I327" i="105"/>
  <c r="J327" i="105" s="1"/>
  <c r="I175" i="105"/>
  <c r="J175" i="105" s="1"/>
  <c r="AF75" i="72"/>
  <c r="AF81" i="72"/>
  <c r="AF113" i="72"/>
  <c r="Z168" i="72"/>
  <c r="I99" i="105" l="1"/>
  <c r="J99" i="105" s="1"/>
  <c r="I124" i="105"/>
  <c r="J124" i="105" s="1"/>
  <c r="Z182" i="72"/>
  <c r="I211" i="105"/>
  <c r="J211" i="105" s="1"/>
  <c r="I163" i="105"/>
  <c r="J163" i="105" s="1"/>
  <c r="I162" i="105"/>
  <c r="J162" i="105" s="1"/>
  <c r="I69" i="105"/>
  <c r="J69" i="105" s="1"/>
  <c r="I195" i="105"/>
  <c r="J195" i="105" s="1"/>
  <c r="I203" i="105"/>
  <c r="J203" i="105" s="1"/>
  <c r="I254" i="105"/>
  <c r="J254" i="105" s="1"/>
  <c r="I189" i="105"/>
  <c r="J189" i="105" s="1"/>
  <c r="I274" i="105"/>
  <c r="J274" i="105" s="1"/>
  <c r="I231" i="105"/>
  <c r="J231" i="105" s="1"/>
  <c r="I305" i="105"/>
  <c r="J305" i="105" s="1"/>
  <c r="I180" i="105"/>
  <c r="J180" i="105" s="1"/>
  <c r="I179" i="105"/>
  <c r="J179" i="105" s="1"/>
  <c r="I170" i="105"/>
  <c r="J170" i="105" s="1"/>
  <c r="I287" i="105"/>
  <c r="J287" i="105" s="1"/>
  <c r="I107" i="105"/>
  <c r="J107" i="105" s="1"/>
  <c r="J120" i="105"/>
  <c r="I260" i="105"/>
  <c r="J260" i="105" s="1"/>
  <c r="I321" i="105"/>
  <c r="J321" i="105" s="1"/>
  <c r="I174" i="105"/>
  <c r="J174" i="105" s="1"/>
  <c r="I326" i="105"/>
  <c r="J326" i="105" s="1"/>
  <c r="I112" i="105"/>
  <c r="J112" i="105" s="1"/>
  <c r="I92" i="105"/>
  <c r="J92" i="105" s="1"/>
  <c r="I93" i="105"/>
  <c r="J93" i="105" s="1"/>
  <c r="I88" i="105"/>
  <c r="J88" i="105" s="1"/>
  <c r="AF101" i="72"/>
  <c r="I320" i="105" l="1"/>
  <c r="J320" i="105" s="1"/>
  <c r="I286" i="105"/>
  <c r="J286" i="105" s="1"/>
  <c r="I210" i="105"/>
  <c r="J210" i="105" s="1"/>
  <c r="I87" i="105"/>
  <c r="J87" i="105" s="1"/>
  <c r="AA168" i="72"/>
  <c r="AA182" i="72" s="1"/>
  <c r="I106" i="105"/>
  <c r="J106" i="105" s="1"/>
  <c r="I230" i="105"/>
  <c r="J230" i="105" s="1"/>
  <c r="I188" i="105"/>
  <c r="J188" i="105" s="1"/>
  <c r="I253" i="105"/>
  <c r="J253" i="105" s="1"/>
  <c r="I304" i="105"/>
  <c r="J304" i="105" s="1"/>
  <c r="I266" i="105"/>
  <c r="J266" i="105" s="1"/>
  <c r="I267" i="105"/>
  <c r="J267" i="105" s="1"/>
  <c r="I65" i="105"/>
  <c r="J65" i="105" s="1"/>
  <c r="I147" i="105"/>
  <c r="J147" i="105" s="1"/>
  <c r="I155" i="105"/>
  <c r="J155" i="105" s="1"/>
  <c r="I259" i="105"/>
  <c r="J259" i="105" s="1"/>
  <c r="I169" i="105"/>
  <c r="J169" i="105" s="1"/>
  <c r="I273" i="105"/>
  <c r="J273" i="105" s="1"/>
  <c r="I294" i="105"/>
  <c r="J294" i="105" s="1"/>
  <c r="I293" i="105"/>
  <c r="J293" i="105" s="1"/>
  <c r="I202" i="105"/>
  <c r="J202" i="105" s="1"/>
  <c r="I111" i="105"/>
  <c r="J111" i="105" s="1"/>
  <c r="I83" i="105"/>
  <c r="J83" i="105" s="1"/>
  <c r="AF105" i="72"/>
  <c r="AF91" i="72"/>
  <c r="I64" i="105" l="1"/>
  <c r="J64" i="105" s="1"/>
  <c r="AB168" i="72"/>
  <c r="AB182" i="72" s="1"/>
  <c r="I243" i="105"/>
  <c r="J243" i="105" s="1"/>
  <c r="I146" i="105"/>
  <c r="J146" i="105" s="1"/>
  <c r="I154" i="105"/>
  <c r="J154" i="105" s="1"/>
  <c r="I194" i="105"/>
  <c r="I98" i="105"/>
  <c r="J98" i="105" s="1"/>
  <c r="I58" i="105"/>
  <c r="J58" i="105" s="1"/>
  <c r="I82" i="105"/>
  <c r="J82" i="105" s="1"/>
  <c r="AF99" i="72"/>
  <c r="I242" i="105" l="1"/>
  <c r="J242" i="105" s="1"/>
  <c r="J194" i="105"/>
  <c r="AF119" i="72" l="1"/>
  <c r="I314" i="105" l="1"/>
  <c r="J314" i="105" s="1"/>
  <c r="I236" i="105" l="1"/>
  <c r="J236" i="105" s="1"/>
  <c r="I313" i="105"/>
  <c r="J313" i="105" s="1"/>
  <c r="AE140" i="72"/>
  <c r="AE170" i="72" s="1"/>
  <c r="O47" i="105" l="1"/>
  <c r="C47" i="105"/>
  <c r="I235" i="105"/>
  <c r="I47" i="105"/>
  <c r="AF71" i="72"/>
  <c r="AE183" i="72"/>
  <c r="J47" i="105" l="1"/>
  <c r="B235" i="105"/>
  <c r="AF146" i="72"/>
  <c r="AI146" i="72" s="1"/>
  <c r="J235" i="105"/>
  <c r="AF150" i="72" l="1"/>
  <c r="AI150" i="72" l="1"/>
  <c r="AF67" i="72" l="1"/>
  <c r="AA11" i="72" l="1"/>
  <c r="AA140" i="72" s="1"/>
  <c r="AA170" i="72" s="1"/>
  <c r="AA181" i="72"/>
  <c r="AA183" i="72" s="1"/>
  <c r="AD11" i="72"/>
  <c r="AD140" i="72" s="1"/>
  <c r="AD170" i="72" s="1"/>
  <c r="U11" i="72"/>
  <c r="U140" i="72" s="1"/>
  <c r="Z11" i="72"/>
  <c r="Z140" i="72" s="1"/>
  <c r="Z170" i="72" s="1"/>
  <c r="W11" i="72"/>
  <c r="W181" i="72" s="1"/>
  <c r="W183" i="72" s="1"/>
  <c r="V11" i="72"/>
  <c r="V143" i="72" s="1"/>
  <c r="Y11" i="72"/>
  <c r="Y143" i="72" s="1"/>
  <c r="AB11" i="72"/>
  <c r="AB181" i="72" s="1"/>
  <c r="AB183" i="72" s="1"/>
  <c r="X11" i="72"/>
  <c r="AC11" i="72"/>
  <c r="AC140" i="72" s="1"/>
  <c r="AC170" i="72" s="1"/>
  <c r="AF10" i="72"/>
  <c r="AF180" i="72" s="1"/>
  <c r="AA143" i="72" l="1"/>
  <c r="AA154" i="72" s="1"/>
  <c r="X143" i="72"/>
  <c r="X181" i="72"/>
  <c r="X183" i="72" s="1"/>
  <c r="Y140" i="72"/>
  <c r="Y170" i="72" s="1"/>
  <c r="W143" i="72"/>
  <c r="W144" i="72" s="1"/>
  <c r="W140" i="72"/>
  <c r="W170" i="72" s="1"/>
  <c r="W171" i="72" s="1"/>
  <c r="AD181" i="72"/>
  <c r="AD183" i="72" s="1"/>
  <c r="AD143" i="72"/>
  <c r="AD154" i="72" s="1"/>
  <c r="Z143" i="72"/>
  <c r="Z144" i="72" s="1"/>
  <c r="Y151" i="72"/>
  <c r="Y144" i="72"/>
  <c r="Y154" i="72"/>
  <c r="V151" i="72"/>
  <c r="V144" i="72"/>
  <c r="AC143" i="72"/>
  <c r="X140" i="72"/>
  <c r="X170" i="72" s="1"/>
  <c r="U143" i="72"/>
  <c r="AC181" i="72"/>
  <c r="AC183" i="72" s="1"/>
  <c r="AF11" i="72"/>
  <c r="Y181" i="72"/>
  <c r="Y183" i="72" s="1"/>
  <c r="V181" i="72"/>
  <c r="V183" i="72" s="1"/>
  <c r="Z181" i="72"/>
  <c r="Z183" i="72" s="1"/>
  <c r="V140" i="72"/>
  <c r="V170" i="72" s="1"/>
  <c r="AB140" i="72"/>
  <c r="AB170" i="72" s="1"/>
  <c r="AB143" i="72"/>
  <c r="AA151" i="72" l="1"/>
  <c r="AA144" i="72"/>
  <c r="X144" i="72"/>
  <c r="X151" i="72"/>
  <c r="X154" i="72"/>
  <c r="Z151" i="72"/>
  <c r="Z152" i="72" s="1"/>
  <c r="AA152" i="72"/>
  <c r="AD144" i="72"/>
  <c r="Y152" i="72"/>
  <c r="Z154" i="72"/>
  <c r="W173" i="72"/>
  <c r="W175" i="72" s="1"/>
  <c r="AF143" i="72"/>
  <c r="W151" i="72"/>
  <c r="W152" i="72" s="1"/>
  <c r="AD151" i="72"/>
  <c r="V152" i="72"/>
  <c r="AC151" i="72"/>
  <c r="AC144" i="72"/>
  <c r="AC154" i="72"/>
  <c r="AF181" i="72"/>
  <c r="AF183" i="72" s="1"/>
  <c r="AF140" i="72"/>
  <c r="AF170" i="72" s="1"/>
  <c r="U144" i="72"/>
  <c r="U151" i="72"/>
  <c r="U152" i="72" s="1"/>
  <c r="AB144" i="72"/>
  <c r="AB154" i="72"/>
  <c r="AB151" i="72"/>
  <c r="V171" i="72"/>
  <c r="V173" i="72"/>
  <c r="V175" i="72" s="1"/>
  <c r="X152" i="72" l="1"/>
  <c r="I80" i="105"/>
  <c r="AI143" i="72"/>
  <c r="AF151" i="72"/>
  <c r="AD152" i="72"/>
  <c r="AC152" i="72"/>
  <c r="AB152" i="72"/>
  <c r="AF144" i="72"/>
  <c r="J80" i="105" l="1"/>
  <c r="I57" i="105"/>
  <c r="J57" i="105" s="1"/>
  <c r="J333" i="105"/>
  <c r="O56" i="105"/>
  <c r="I61" i="105"/>
  <c r="J61" i="105" s="1"/>
  <c r="AI144" i="72"/>
  <c r="AI151" i="72"/>
  <c r="AF152" i="72"/>
  <c r="AI152" i="72" s="1"/>
  <c r="C50" i="105" l="1"/>
  <c r="I50" i="105"/>
  <c r="J50" i="105" s="1"/>
  <c r="O63" i="105"/>
  <c r="L25" i="118"/>
  <c r="I332" i="105"/>
  <c r="L26" i="118" l="1"/>
  <c r="L30" i="118" s="1"/>
  <c r="L34" i="118" s="1"/>
  <c r="L38" i="118" s="1"/>
  <c r="J332" i="105"/>
  <c r="N25" i="118" s="1"/>
  <c r="H83" i="118" l="1"/>
  <c r="L251" i="118"/>
  <c r="J251" i="118"/>
  <c r="H211" i="118"/>
  <c r="H179" i="118" l="1"/>
  <c r="L40" i="118"/>
  <c r="H251" i="118"/>
  <c r="L41" i="118" l="1"/>
  <c r="E15" i="118"/>
  <c r="E16" i="118" s="1"/>
  <c r="E17" i="1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D82" authorId="0" shapeId="0" xr:uid="{544156BC-C5CF-4D67-A5CB-53198713B5E4}">
      <text>
        <r>
          <rPr>
            <b/>
            <sz val="9"/>
            <color indexed="81"/>
            <rFont val="Tahoma"/>
            <family val="2"/>
            <charset val="186"/>
          </rPr>
          <t>Baiba Kanča:</t>
        </r>
        <r>
          <rPr>
            <sz val="9"/>
            <color indexed="81"/>
            <rFont val="Tahoma"/>
            <family val="2"/>
            <charset val="186"/>
          </rPr>
          <t xml:space="preserve">
EKK2250 ZZ Dats pārnests no citām struktūrvienībām</t>
        </r>
      </text>
    </comment>
    <comment ref="G125" authorId="1" shapeId="0" xr:uid="{778BED8B-4BDE-4662-966E-83FA27801314}">
      <text>
        <r>
          <rPr>
            <b/>
            <sz val="9"/>
            <color indexed="81"/>
            <rFont val="Tahoma"/>
            <family val="2"/>
            <charset val="186"/>
          </rPr>
          <t>Sarmīte Mūze:</t>
        </r>
        <r>
          <rPr>
            <sz val="9"/>
            <color indexed="81"/>
            <rFont val="Tahoma"/>
            <family val="2"/>
            <charset val="186"/>
          </rPr>
          <t xml:space="preserve">
EUR 50'783 pārcelts uz SID atalgojumu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O26" authorId="0" shapeId="0" xr:uid="{42E9A46A-8BA6-451B-86D0-FFD1CAC677BC}">
      <text>
        <r>
          <rPr>
            <b/>
            <sz val="9"/>
            <color indexed="81"/>
            <rFont val="Tahoma"/>
            <family val="2"/>
            <charset val="186"/>
          </rPr>
          <t>Sarmīte Mūze:</t>
        </r>
        <r>
          <rPr>
            <sz val="9"/>
            <color indexed="81"/>
            <rFont val="Tahoma"/>
            <family val="2"/>
            <charset val="186"/>
          </rPr>
          <t xml:space="preserve">
EUR 94'459 atmaksās cauc soc. Pakalp. Un Dziesmu svētki</t>
        </r>
      </text>
    </comment>
    <comment ref="K47" authorId="0" shapeId="0" xr:uid="{2CDB9FD7-7BFF-40B8-8288-B1953FE12552}">
      <text>
        <r>
          <rPr>
            <b/>
            <sz val="9"/>
            <color indexed="81"/>
            <rFont val="Tahoma"/>
            <family val="2"/>
            <charset val="186"/>
          </rPr>
          <t>Sarmīte Mūze:</t>
        </r>
        <r>
          <rPr>
            <sz val="9"/>
            <color indexed="81"/>
            <rFont val="Tahoma"/>
            <family val="2"/>
            <charset val="186"/>
          </rPr>
          <t xml:space="preserve">
KA</t>
        </r>
      </text>
    </comment>
    <comment ref="K48" authorId="0" shapeId="0" xr:uid="{F9389AD0-7908-4C84-BE88-B86D78369223}">
      <text>
        <r>
          <rPr>
            <b/>
            <sz val="9"/>
            <color indexed="81"/>
            <rFont val="Tahoma"/>
            <family val="2"/>
            <charset val="186"/>
          </rPr>
          <t>Sarmīte Mūze:</t>
        </r>
        <r>
          <rPr>
            <sz val="9"/>
            <color indexed="81"/>
            <rFont val="Tahoma"/>
            <family val="2"/>
            <charset val="186"/>
          </rPr>
          <t xml:space="preserve">
18'000 tiks atgriezts pēc TEP izstrādes</t>
        </r>
      </text>
    </comment>
    <comment ref="K49" authorId="0" shapeId="0" xr:uid="{A2A45B1B-4C37-4381-8860-B2DABA77E454}">
      <text>
        <r>
          <rPr>
            <b/>
            <sz val="9"/>
            <color indexed="81"/>
            <rFont val="Tahoma"/>
            <family val="2"/>
            <charset val="186"/>
          </rPr>
          <t>Sarmīte Mūze:</t>
        </r>
        <r>
          <rPr>
            <sz val="9"/>
            <color indexed="81"/>
            <rFont val="Tahoma"/>
            <family val="2"/>
            <charset val="186"/>
          </rPr>
          <t xml:space="preserve">
KA</t>
        </r>
      </text>
    </comment>
    <comment ref="K52" authorId="0" shapeId="0" xr:uid="{2C656E07-37CC-484B-88B1-163F00C03BD4}">
      <text>
        <r>
          <rPr>
            <b/>
            <sz val="9"/>
            <color indexed="81"/>
            <rFont val="Tahoma"/>
            <family val="2"/>
            <charset val="186"/>
          </rPr>
          <t>Sarmīte Mūze:</t>
        </r>
        <r>
          <rPr>
            <sz val="9"/>
            <color indexed="81"/>
            <rFont val="Tahoma"/>
            <family val="2"/>
            <charset val="186"/>
          </rPr>
          <t xml:space="preserve">
KA</t>
        </r>
      </text>
    </comment>
    <comment ref="K53" authorId="0" shapeId="0" xr:uid="{67F90CC1-7EDE-42CE-A32E-0D2C3035763D}">
      <text>
        <r>
          <rPr>
            <b/>
            <sz val="9"/>
            <color indexed="81"/>
            <rFont val="Tahoma"/>
            <family val="2"/>
            <charset val="186"/>
          </rPr>
          <t>Sarmīte Mūze:</t>
        </r>
        <r>
          <rPr>
            <sz val="9"/>
            <color indexed="81"/>
            <rFont val="Tahoma"/>
            <family val="2"/>
            <charset val="186"/>
          </rPr>
          <t xml:space="preserve">
KA+Proj. Finans.</t>
        </r>
      </text>
    </comment>
    <comment ref="K54" authorId="0" shapeId="0" xr:uid="{BB2F9B30-7E4D-4960-9EC9-DB0A3CA4AAC3}">
      <text>
        <r>
          <rPr>
            <b/>
            <sz val="9"/>
            <color indexed="81"/>
            <rFont val="Tahoma"/>
            <family val="2"/>
            <charset val="186"/>
          </rPr>
          <t>Sarmīte Mūze:</t>
        </r>
        <r>
          <rPr>
            <sz val="9"/>
            <color indexed="81"/>
            <rFont val="Tahoma"/>
            <family val="2"/>
            <charset val="186"/>
          </rPr>
          <t xml:space="preserve">
CFLA finansējums_Ūdenssaimniecības III kārta (noslēdzošais maksājums) (Jāatmaksā aizņēmums)</t>
        </r>
      </text>
    </comment>
    <comment ref="K55" authorId="0" shapeId="0" xr:uid="{34FC41AF-BBD0-48B8-9B13-3CBCDF5B3EA1}">
      <text>
        <r>
          <rPr>
            <b/>
            <sz val="9"/>
            <color indexed="81"/>
            <rFont val="Tahoma"/>
            <family val="2"/>
            <charset val="186"/>
          </rPr>
          <t>Sarmīte Mūze:</t>
        </r>
        <r>
          <rPr>
            <sz val="9"/>
            <color indexed="81"/>
            <rFont val="Tahoma"/>
            <family val="2"/>
            <charset val="186"/>
          </rPr>
          <t xml:space="preserve">
KA 90'432+Ienākošais ERAF 89'627 + 20'212</t>
        </r>
      </text>
    </comment>
    <comment ref="K56" authorId="0" shapeId="0" xr:uid="{549B8621-CE4A-4449-9365-9E92B8C0BA2A}">
      <text>
        <r>
          <rPr>
            <b/>
            <sz val="9"/>
            <color indexed="81"/>
            <rFont val="Tahoma"/>
            <family val="2"/>
            <charset val="186"/>
          </rPr>
          <t>Sarmīte Mūze:</t>
        </r>
        <r>
          <rPr>
            <sz val="9"/>
            <color indexed="81"/>
            <rFont val="Tahoma"/>
            <family val="2"/>
            <charset val="186"/>
          </rPr>
          <t xml:space="preserve">
KA
</t>
        </r>
      </text>
    </comment>
    <comment ref="K57" authorId="0" shapeId="0" xr:uid="{12C73CF0-6EA2-4B17-9223-E691F39CE561}">
      <text>
        <r>
          <rPr>
            <b/>
            <sz val="9"/>
            <color indexed="81"/>
            <rFont val="Tahoma"/>
            <family val="2"/>
            <charset val="186"/>
          </rPr>
          <t>Sarmīte Mūze:</t>
        </r>
        <r>
          <rPr>
            <sz val="9"/>
            <color indexed="81"/>
            <rFont val="Tahoma"/>
            <family val="2"/>
            <charset val="186"/>
          </rPr>
          <t xml:space="preserve">
KA</t>
        </r>
      </text>
    </comment>
    <comment ref="K58" authorId="0" shapeId="0" xr:uid="{A2796526-23D3-4E64-BAA6-139C7B515C1F}">
      <text>
        <r>
          <rPr>
            <b/>
            <sz val="9"/>
            <color indexed="81"/>
            <rFont val="Tahoma"/>
            <family val="2"/>
            <charset val="186"/>
          </rPr>
          <t>Sarmīte Mūze:</t>
        </r>
        <r>
          <rPr>
            <sz val="9"/>
            <color indexed="81"/>
            <rFont val="Tahoma"/>
            <family val="2"/>
            <charset val="186"/>
          </rPr>
          <t xml:space="preserve">
KA</t>
        </r>
      </text>
    </comment>
    <comment ref="K60" authorId="0" shapeId="0" xr:uid="{7439A33A-4212-46B0-8F9B-A33C27FEAD9A}">
      <text>
        <r>
          <rPr>
            <b/>
            <sz val="9"/>
            <color indexed="81"/>
            <rFont val="Tahoma"/>
            <family val="2"/>
            <charset val="186"/>
          </rPr>
          <t>Sarmīte Mūze:</t>
        </r>
        <r>
          <rPr>
            <sz val="9"/>
            <color indexed="81"/>
            <rFont val="Tahoma"/>
            <family val="2"/>
            <charset val="186"/>
          </rPr>
          <t xml:space="preserve">
KA</t>
        </r>
      </text>
    </comment>
    <comment ref="K61" authorId="0" shapeId="0" xr:uid="{15E84027-DEAD-4021-9725-0890EEA28443}">
      <text>
        <r>
          <rPr>
            <b/>
            <sz val="9"/>
            <color indexed="81"/>
            <rFont val="Tahoma"/>
            <family val="2"/>
            <charset val="186"/>
          </rPr>
          <t>Sarmīte Mūze:</t>
        </r>
        <r>
          <rPr>
            <sz val="9"/>
            <color indexed="81"/>
            <rFont val="Tahoma"/>
            <family val="2"/>
            <charset val="186"/>
          </rPr>
          <t xml:space="preserve">
KA 4'454
</t>
        </r>
      </text>
    </comment>
    <comment ref="K63" authorId="0" shapeId="0" xr:uid="{C836A2C3-C8EA-45D0-BF6A-878CAC8641C2}">
      <text>
        <r>
          <rPr>
            <b/>
            <sz val="9"/>
            <color indexed="81"/>
            <rFont val="Tahoma"/>
            <family val="2"/>
            <charset val="186"/>
          </rPr>
          <t>Sarmīte Mūze:</t>
        </r>
        <r>
          <rPr>
            <sz val="9"/>
            <color indexed="81"/>
            <rFont val="Tahoma"/>
            <family val="2"/>
            <charset val="186"/>
          </rPr>
          <t xml:space="preserve">
KA</t>
        </r>
      </text>
    </comment>
    <comment ref="K69" authorId="0" shapeId="0" xr:uid="{CCACB41F-F6CA-43B2-BECC-A0B6F9219DB9}">
      <text>
        <r>
          <rPr>
            <b/>
            <sz val="9"/>
            <color indexed="81"/>
            <rFont val="Tahoma"/>
            <family val="2"/>
            <charset val="186"/>
          </rPr>
          <t>Sarmīte Mūze:</t>
        </r>
        <r>
          <rPr>
            <sz val="9"/>
            <color indexed="81"/>
            <rFont val="Tahoma"/>
            <family val="2"/>
            <charset val="186"/>
          </rPr>
          <t xml:space="preserve">
KA</t>
        </r>
      </text>
    </comment>
    <comment ref="K70" authorId="0" shapeId="0" xr:uid="{9FDD03D4-F2AB-443F-BFD2-147CA32E9CEA}">
      <text>
        <r>
          <rPr>
            <b/>
            <sz val="9"/>
            <color indexed="81"/>
            <rFont val="Tahoma"/>
            <family val="2"/>
            <charset val="186"/>
          </rPr>
          <t>Sarmīte Mūze:</t>
        </r>
        <r>
          <rPr>
            <sz val="9"/>
            <color indexed="81"/>
            <rFont val="Tahoma"/>
            <family val="2"/>
            <charset val="186"/>
          </rPr>
          <t xml:space="preserve">
KA</t>
        </r>
      </text>
    </comment>
    <comment ref="K71" authorId="0" shapeId="0" xr:uid="{D85C8526-F523-4597-B584-F3BD209BF874}">
      <text>
        <r>
          <rPr>
            <b/>
            <sz val="9"/>
            <color indexed="81"/>
            <rFont val="Tahoma"/>
            <family val="2"/>
            <charset val="186"/>
          </rPr>
          <t>Sarmīte Mūze:</t>
        </r>
        <r>
          <rPr>
            <sz val="9"/>
            <color indexed="81"/>
            <rFont val="Tahoma"/>
            <family val="2"/>
            <charset val="186"/>
          </rPr>
          <t xml:space="preserve">
KA</t>
        </r>
      </text>
    </comment>
    <comment ref="K72" authorId="0" shapeId="0" xr:uid="{25D9A919-DFE4-4201-B212-43848F4E0160}">
      <text>
        <r>
          <rPr>
            <b/>
            <sz val="9"/>
            <color indexed="81"/>
            <rFont val="Tahoma"/>
            <family val="2"/>
            <charset val="186"/>
          </rPr>
          <t>Sarmīte Mūze:</t>
        </r>
        <r>
          <rPr>
            <sz val="9"/>
            <color indexed="81"/>
            <rFont val="Tahoma"/>
            <family val="2"/>
            <charset val="186"/>
          </rPr>
          <t xml:space="preserve">
24'529 KA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V28" authorId="0" shapeId="0" xr:uid="{00000000-0006-0000-0B00-000001000000}">
      <text>
        <r>
          <rPr>
            <b/>
            <sz val="9"/>
            <color indexed="81"/>
            <rFont val="Tahoma"/>
            <family val="2"/>
            <charset val="186"/>
          </rPr>
          <t>Sarmīte Mūze:</t>
        </r>
        <r>
          <rPr>
            <sz val="9"/>
            <color indexed="81"/>
            <rFont val="Tahoma"/>
            <family val="2"/>
            <charset val="186"/>
          </rPr>
          <t xml:space="preserve">
Atmaksā ERAF ienākošā nauda</t>
        </r>
      </text>
    </comment>
    <comment ref="I34" authorId="0" shapeId="0" xr:uid="{00000000-0006-0000-0B00-000002000000}">
      <text>
        <r>
          <rPr>
            <b/>
            <sz val="9"/>
            <color indexed="81"/>
            <rFont val="Tahoma"/>
            <family val="2"/>
            <charset val="186"/>
          </rPr>
          <t>Sarmīte Mūze:</t>
        </r>
        <r>
          <rPr>
            <sz val="9"/>
            <color indexed="81"/>
            <rFont val="Tahoma"/>
            <family val="2"/>
            <charset val="186"/>
          </rPr>
          <t xml:space="preserve">
EUR 236'297 ĀND daļa
</t>
        </r>
      </text>
    </comment>
    <comment ref="AE71" authorId="1" shapeId="0" xr:uid="{B88E57EC-E60C-4E50-A29A-BE50E2131FA2}">
      <text>
        <r>
          <rPr>
            <b/>
            <sz val="9"/>
            <color indexed="81"/>
            <rFont val="Tahoma"/>
            <family val="2"/>
            <charset val="186"/>
          </rPr>
          <t>Baiba Kanča:</t>
        </r>
        <r>
          <rPr>
            <sz val="9"/>
            <color indexed="81"/>
            <rFont val="Tahoma"/>
            <family val="2"/>
            <charset val="186"/>
          </rPr>
          <t xml:space="preserve">
samazinās uz pusi</t>
        </r>
      </text>
    </comment>
    <comment ref="AE73" authorId="1" shapeId="0" xr:uid="{EE0CE062-D70B-41FD-9836-F73AEC741DE1}">
      <text>
        <r>
          <rPr>
            <b/>
            <sz val="9"/>
            <color indexed="81"/>
            <rFont val="Tahoma"/>
            <family val="2"/>
            <charset val="186"/>
          </rPr>
          <t>Baiba Kanča:</t>
        </r>
        <r>
          <rPr>
            <sz val="9"/>
            <color indexed="81"/>
            <rFont val="Tahoma"/>
            <family val="2"/>
            <charset val="186"/>
          </rPr>
          <t xml:space="preserve">
samazinās uz pusi
</t>
        </r>
      </text>
    </comment>
  </commentList>
</comments>
</file>

<file path=xl/sharedStrings.xml><?xml version="1.0" encoding="utf-8"?>
<sst xmlns="http://schemas.openxmlformats.org/spreadsheetml/2006/main" count="3061" uniqueCount="1669">
  <si>
    <t xml:space="preserve">N.p.k. </t>
  </si>
  <si>
    <t>Sadaļa</t>
  </si>
  <si>
    <t>%</t>
  </si>
  <si>
    <t>1., 2., 3., 4., 5.</t>
  </si>
  <si>
    <t>Nodokļu ieņēmumi</t>
  </si>
  <si>
    <t>1.</t>
  </si>
  <si>
    <t>Iedzīvotāju ienākuma nodoklis</t>
  </si>
  <si>
    <t>1.1.</t>
  </si>
  <si>
    <t>1.2.</t>
  </si>
  <si>
    <t>pārskata gada</t>
  </si>
  <si>
    <t>2.</t>
  </si>
  <si>
    <t>Nekustamā īpašuma nodoklis par zemi</t>
  </si>
  <si>
    <t>2.1.</t>
  </si>
  <si>
    <t>2.2.</t>
  </si>
  <si>
    <t>iepriekšējo gadu parādi</t>
  </si>
  <si>
    <t>3.</t>
  </si>
  <si>
    <t>3.1.</t>
  </si>
  <si>
    <t xml:space="preserve">pārskata gada </t>
  </si>
  <si>
    <t>3.2.</t>
  </si>
  <si>
    <t>4.</t>
  </si>
  <si>
    <t>4.1.</t>
  </si>
  <si>
    <t>4.2.</t>
  </si>
  <si>
    <t>5.</t>
  </si>
  <si>
    <t>6.</t>
  </si>
  <si>
    <t>Valsts (pašvaldību) un kancelejas nodevas</t>
  </si>
  <si>
    <t>6.1.</t>
  </si>
  <si>
    <t>6.1.2.</t>
  </si>
  <si>
    <t>6.2.</t>
  </si>
  <si>
    <t>7.</t>
  </si>
  <si>
    <t>Naudas sodi un sankcijas</t>
  </si>
  <si>
    <t>7.1.</t>
  </si>
  <si>
    <t>7.2.</t>
  </si>
  <si>
    <t>8.</t>
  </si>
  <si>
    <t>Pārējie nenodokļu ieņēmumi</t>
  </si>
  <si>
    <t>8.1.</t>
  </si>
  <si>
    <t>8.2.</t>
  </si>
  <si>
    <t>8.3.</t>
  </si>
  <si>
    <t>9.</t>
  </si>
  <si>
    <t>Ieņēmumi no pašvaldības īpašuma pārdošana</t>
  </si>
  <si>
    <t>10.</t>
  </si>
  <si>
    <t>Valsts budžeta transferti</t>
  </si>
  <si>
    <t>10.10.</t>
  </si>
  <si>
    <t>ES struktūrfondu līdzekļi</t>
  </si>
  <si>
    <t>Projekts</t>
  </si>
  <si>
    <t>11.</t>
  </si>
  <si>
    <t>Pašvaldību budžeta transferti</t>
  </si>
  <si>
    <t>11.1.</t>
  </si>
  <si>
    <t>no citām pašvaldībām izglītības funkciju nodrošināšanai</t>
  </si>
  <si>
    <t>12.</t>
  </si>
  <si>
    <t>Budžeta iestāžu ieņēmumi</t>
  </si>
  <si>
    <t>12.1.</t>
  </si>
  <si>
    <t>12.1.1.</t>
  </si>
  <si>
    <t>21.3.5.2.</t>
  </si>
  <si>
    <t>12.1.2.</t>
  </si>
  <si>
    <t>21.3.5.9.</t>
  </si>
  <si>
    <t>12.2.</t>
  </si>
  <si>
    <t>ieņēmumi par nomu un īri</t>
  </si>
  <si>
    <t>21.3.8.1.</t>
  </si>
  <si>
    <t>12.2.1.</t>
  </si>
  <si>
    <t>21.3.8.4.</t>
  </si>
  <si>
    <t>12.2.2.</t>
  </si>
  <si>
    <t>12.3.</t>
  </si>
  <si>
    <t>budžeta iestāžu maksas pakalpojumi</t>
  </si>
  <si>
    <t>12.4.</t>
  </si>
  <si>
    <t>KOPĀ IEŅĒMUMI:</t>
  </si>
  <si>
    <t>13.1.</t>
  </si>
  <si>
    <t>13.2.</t>
  </si>
  <si>
    <t xml:space="preserve">Izdevumu daļa </t>
  </si>
  <si>
    <t>Vispārējie valdības dienesti</t>
  </si>
  <si>
    <t>deputāti</t>
  </si>
  <si>
    <t>1.3.</t>
  </si>
  <si>
    <t>administratīvā komisija</t>
  </si>
  <si>
    <t>1.4.</t>
  </si>
  <si>
    <t>iepirkumu komisija</t>
  </si>
  <si>
    <t>1.5.</t>
  </si>
  <si>
    <t>vēlēšanu komisija</t>
  </si>
  <si>
    <t>1.6.</t>
  </si>
  <si>
    <t>1.7.</t>
  </si>
  <si>
    <t>dažādas komisijas</t>
  </si>
  <si>
    <t>1.8.</t>
  </si>
  <si>
    <t>Iemaksas PFIF</t>
  </si>
  <si>
    <t>Pārējie vispārēja rakstura transferti</t>
  </si>
  <si>
    <t>Sabiedriskās attiecības, laikraksts</t>
  </si>
  <si>
    <t>Pašvaldības teritoriju un mājokļu apsaimniekošana</t>
  </si>
  <si>
    <t>5.1.</t>
  </si>
  <si>
    <t>5.2.</t>
  </si>
  <si>
    <t>5.3.</t>
  </si>
  <si>
    <t>5.4.</t>
  </si>
  <si>
    <t>Atpūta, kultūra un reliģija</t>
  </si>
  <si>
    <t>Kultūras centrs</t>
  </si>
  <si>
    <t>6.3.</t>
  </si>
  <si>
    <t>6.4.</t>
  </si>
  <si>
    <t>Evaņģēliski luteriskās draudzes</t>
  </si>
  <si>
    <t>6.5.</t>
  </si>
  <si>
    <t>Sociālā aizsardzība</t>
  </si>
  <si>
    <t>Sociālais dienests</t>
  </si>
  <si>
    <t>7.3.</t>
  </si>
  <si>
    <t>Bāriņtiesa</t>
  </si>
  <si>
    <t>Izglītība</t>
  </si>
  <si>
    <t>Norēķini ar pašvaldību budžetiem par izglītības iestāžu pakalpojumiem</t>
  </si>
  <si>
    <t>Privātās izglītības iestādes</t>
  </si>
  <si>
    <t>ĀBVS</t>
  </si>
  <si>
    <t>Pārējās privātās PII</t>
  </si>
  <si>
    <t>Ādažu vidusskola</t>
  </si>
  <si>
    <t>Kredītu pamatsummas atmaksa</t>
  </si>
  <si>
    <t>-</t>
  </si>
  <si>
    <t>4.pielikums</t>
  </si>
  <si>
    <t>Aizdevumu pamatsummu un procentu atmaksa faktiskajiem un plānotajiem aizņēmumiem.</t>
  </si>
  <si>
    <t>Aizdevuma mērķis</t>
  </si>
  <si>
    <t>Līguma Nr.</t>
  </si>
  <si>
    <t>Trānčes Nr.</t>
  </si>
  <si>
    <t>Līguma dat.</t>
  </si>
  <si>
    <t>Līguma termiņš</t>
  </si>
  <si>
    <t>Līgumsumma LVL</t>
  </si>
  <si>
    <t>Līgumsumma EUR</t>
  </si>
  <si>
    <t>Saņemts LVL</t>
  </si>
  <si>
    <t>Saņemts EUR</t>
  </si>
  <si>
    <t>Aizdevuma apkalpošanas likme</t>
  </si>
  <si>
    <t>% maksājumu reizes gadā</t>
  </si>
  <si>
    <t>Izmaksāts no VK 2010.gadā</t>
  </si>
  <si>
    <t>Atlikums uz 01.01.2010.</t>
  </si>
  <si>
    <t>Atlikusī pamatsumma EUR uz 31/12/2014</t>
  </si>
  <si>
    <t>Veids</t>
  </si>
  <si>
    <t>Kopā</t>
  </si>
  <si>
    <t>Kopā 2020. gadā</t>
  </si>
  <si>
    <t>Kopā 2021. gadā</t>
  </si>
  <si>
    <t>pamats.</t>
  </si>
  <si>
    <t>Stabilizācijas aizdevums -</t>
  </si>
  <si>
    <t>A2/1/11/107</t>
  </si>
  <si>
    <t>P-50/2011</t>
  </si>
  <si>
    <t>01.03.2011</t>
  </si>
  <si>
    <t>11.04.2011.</t>
  </si>
  <si>
    <t>1.kārtas 2.posms</t>
  </si>
  <si>
    <t>A2/1/11/549</t>
  </si>
  <si>
    <t>P-350/2011</t>
  </si>
  <si>
    <t>20.12.2031.</t>
  </si>
  <si>
    <t xml:space="preserve"> 1.kārtas 3.posms</t>
  </si>
  <si>
    <t>Stabilizācijas aizdevums - 2.k. 1.p.</t>
  </si>
  <si>
    <t>A2/1/12/328</t>
  </si>
  <si>
    <t>P-219/2012</t>
  </si>
  <si>
    <t>Kohēzijas projekts</t>
  </si>
  <si>
    <t>Stabilizācijas aizdevums - 2.k. 2.p.</t>
  </si>
  <si>
    <t>A2/1/13/1000</t>
  </si>
  <si>
    <t>P-441/2013</t>
  </si>
  <si>
    <t>Kohēzijas projekts II kārta</t>
  </si>
  <si>
    <t>Citas ilgtermiņa saistības.</t>
  </si>
  <si>
    <t>Galvojums SIA "Ādažu ūdens"</t>
  </si>
  <si>
    <t>x</t>
  </si>
  <si>
    <t>Saistību apmērs % no pamatbudžeta ieņēmumiem</t>
  </si>
  <si>
    <t xml:space="preserve">Pašvaldības pamatbudžeta ieņēmumi bez mērķdotācijām un iemaksām pašvaldību </t>
  </si>
  <si>
    <t>finanšu  izlīdzināšanas fondā saimnieciskajā gadā</t>
  </si>
  <si>
    <t>Kopā:</t>
  </si>
  <si>
    <t>Nosaukums</t>
  </si>
  <si>
    <t>Funkcija</t>
  </si>
  <si>
    <t>Nodaļas nosaukums</t>
  </si>
  <si>
    <t>Naudas balvas</t>
  </si>
  <si>
    <t>Darba devēja soc.nod.-darbinieki</t>
  </si>
  <si>
    <t>Pārējās preces</t>
  </si>
  <si>
    <t>Pašvaldības policija</t>
  </si>
  <si>
    <t>Izdevumi par ūdeni un kanalizāciju</t>
  </si>
  <si>
    <t>Izdevumi par elektroenerģiju</t>
  </si>
  <si>
    <t>Valsts un pašvaldību budžeta dotācija biedrībām un nodibinājumiem</t>
  </si>
  <si>
    <t>Inventārs</t>
  </si>
  <si>
    <t>Izdev.par transporta pak.,stāvvietas, pier.apm.br.</t>
  </si>
  <si>
    <t>KC</t>
  </si>
  <si>
    <t xml:space="preserve">Tērpi amatiermākslas kolektīviem </t>
  </si>
  <si>
    <t xml:space="preserve">Ādažu vidusskola </t>
  </si>
  <si>
    <t>Mērķdotācijas</t>
  </si>
  <si>
    <t>Konkurss Par sakoptāko īpašumu (balvu fonds 250+150+100 + reprezentācija)RP</t>
  </si>
  <si>
    <t>0340</t>
  </si>
  <si>
    <t>0630</t>
  </si>
  <si>
    <t>0812</t>
  </si>
  <si>
    <t>0880</t>
  </si>
  <si>
    <t>0910</t>
  </si>
  <si>
    <t>0950</t>
  </si>
  <si>
    <t>0960</t>
  </si>
  <si>
    <t>1010</t>
  </si>
  <si>
    <t>Max saistību papildus summa</t>
  </si>
  <si>
    <t>Kopējais saistību  summa</t>
  </si>
  <si>
    <t>BN</t>
  </si>
  <si>
    <t>BT</t>
  </si>
  <si>
    <t>EUR</t>
  </si>
  <si>
    <t>Mērķdotācija</t>
  </si>
  <si>
    <t>Vārds, uzvārds</t>
  </si>
  <si>
    <t>Guntis Porietis</t>
  </si>
  <si>
    <t>Pašvaldības finansējums</t>
  </si>
  <si>
    <t>Pabalsti</t>
  </si>
  <si>
    <t>BNk_I</t>
  </si>
  <si>
    <t>Asistentu pakalpojumi</t>
  </si>
  <si>
    <t>0930</t>
  </si>
  <si>
    <t>Izglītības un jauniešu lietu pārvalde</t>
  </si>
  <si>
    <t>Atlikusī pamatsumma EUR uz 31/12/2015</t>
  </si>
  <si>
    <t>Projekti</t>
  </si>
  <si>
    <t>BT_pasākumi</t>
  </si>
  <si>
    <t>Ic</t>
  </si>
  <si>
    <t>Pieaugums/ (samazinājums) %</t>
  </si>
  <si>
    <t>Pieaugums/ (samazinājums) EUR</t>
  </si>
  <si>
    <t>Bāzes kapitālās</t>
  </si>
  <si>
    <t>Bāzes</t>
  </si>
  <si>
    <t>pārvalde (bāzes)</t>
  </si>
  <si>
    <t>Ādažu Pirmsskolas izglītības iestāde (bāzes)</t>
  </si>
  <si>
    <t>Ādažu vidusskola (bāze)</t>
  </si>
  <si>
    <t>Kadagas PII (bāze)</t>
  </si>
  <si>
    <t>Izglītības un jauniešu lietu pārvalde (bāze)</t>
  </si>
  <si>
    <t>Ādažu Mākslas un mūzikas skola (bāze)</t>
  </si>
  <si>
    <t>Sporta skola (bāze)</t>
  </si>
  <si>
    <t>Sabiedriskā kārtība un drošība (bāze)</t>
  </si>
  <si>
    <t>Būvvalde (bāze)</t>
  </si>
  <si>
    <t>5.6.</t>
  </si>
  <si>
    <t>5.7.</t>
  </si>
  <si>
    <t>Sporta daļa (bāze)</t>
  </si>
  <si>
    <t>Kultūras centrs (bāze)</t>
  </si>
  <si>
    <t>Sociālais dienests (bāze+pabalsti)</t>
  </si>
  <si>
    <t>% likme, izmaiņas ar 2015 uz gadu</t>
  </si>
  <si>
    <t>Jaunās skolas būvniecībai</t>
  </si>
  <si>
    <t>Gaujas ielas rekonstrukcijai</t>
  </si>
  <si>
    <t>6.6.</t>
  </si>
  <si>
    <t>Kopā 2022. gadā</t>
  </si>
  <si>
    <t>SAM 4.2.2. ĀPII</t>
  </si>
  <si>
    <t>Būvprojekta izstrāde un autoruzraudzība</t>
  </si>
  <si>
    <t>N.p.k.</t>
  </si>
  <si>
    <t>EKK</t>
  </si>
  <si>
    <t>LAD projekts Laveru ceļš</t>
  </si>
  <si>
    <t>Multihalle</t>
  </si>
  <si>
    <t>25.10.2016.</t>
  </si>
  <si>
    <t>BT_algas</t>
  </si>
  <si>
    <t>0110 Pārvalde</t>
  </si>
  <si>
    <t>BN_algas</t>
  </si>
  <si>
    <t>Atalgojums</t>
  </si>
  <si>
    <t xml:space="preserve">Projekti </t>
  </si>
  <si>
    <t>Atbalstītie projekti</t>
  </si>
  <si>
    <t>Aizņēmumu pamatsummas atmaksa:</t>
  </si>
  <si>
    <t xml:space="preserve">Lieldienu sarīkojumi </t>
  </si>
  <si>
    <t>Ādažu Ziemassvētku egles iedegšana</t>
  </si>
  <si>
    <t>0981</t>
  </si>
  <si>
    <t>Ataru ceļa rekonstrukcija</t>
  </si>
  <si>
    <t>Muižas ielas rekonstrukcijai</t>
  </si>
  <si>
    <t xml:space="preserve">SAM 5.1.1. Pretplūdu pasākumi </t>
  </si>
  <si>
    <t>03.2032</t>
  </si>
  <si>
    <t>03.2017.</t>
  </si>
  <si>
    <t>Ādažu vidusskolas remonts</t>
  </si>
  <si>
    <t>Saistību mērķis</t>
  </si>
  <si>
    <t>citi ieņēmumi no citām pašvaldībam</t>
  </si>
  <si>
    <t>20.04.2036.</t>
  </si>
  <si>
    <t>25.03.2032.</t>
  </si>
  <si>
    <t>25.11.2023.</t>
  </si>
  <si>
    <t>20.10.2021.</t>
  </si>
  <si>
    <t xml:space="preserve">A2/1/16/451 </t>
  </si>
  <si>
    <t>P-328/2016</t>
  </si>
  <si>
    <t xml:space="preserve">Gaujas ielas rekonstrukcija </t>
  </si>
  <si>
    <t>1.-3.kārta</t>
  </si>
  <si>
    <t>4.kārta</t>
  </si>
  <si>
    <t>P-196/2017</t>
  </si>
  <si>
    <t>19.05.2017.</t>
  </si>
  <si>
    <t>20.05.2032.</t>
  </si>
  <si>
    <t>A2/1/17/301</t>
  </si>
  <si>
    <t>04.07.2017.</t>
  </si>
  <si>
    <t>P-330/2017</t>
  </si>
  <si>
    <t>08.06.2017.</t>
  </si>
  <si>
    <t>20.06.2022.</t>
  </si>
  <si>
    <t>88'266+46'627</t>
  </si>
  <si>
    <t>P-258/2017</t>
  </si>
  <si>
    <t>A2/1/17/375</t>
  </si>
  <si>
    <t>A2/1/17/468</t>
  </si>
  <si>
    <t>P-481/2017</t>
  </si>
  <si>
    <t>30.08.2017.</t>
  </si>
  <si>
    <t>P-482/2017</t>
  </si>
  <si>
    <t>20.08.2022.</t>
  </si>
  <si>
    <t>20.06.2023</t>
  </si>
  <si>
    <t>A2/1/17/596</t>
  </si>
  <si>
    <t>P-450/2017</t>
  </si>
  <si>
    <t>21.08.2017.</t>
  </si>
  <si>
    <t>20.08.2032.</t>
  </si>
  <si>
    <t>Kopā 2023. gadā</t>
  </si>
  <si>
    <t>Kopā 2024. gadā</t>
  </si>
  <si>
    <t>31.08.2017.</t>
  </si>
  <si>
    <t>A2/1/17/640</t>
  </si>
  <si>
    <t>A2/1/17/641</t>
  </si>
  <si>
    <t>Projektēšana</t>
  </si>
  <si>
    <t>LĪGO svētki Ādažos</t>
  </si>
  <si>
    <t xml:space="preserve">Zivju fonds  „Zivju resursu aizsardzības pasākumi Ādažu novada ūdenstipnēs”  </t>
  </si>
  <si>
    <t>Summa</t>
  </si>
  <si>
    <t>0956</t>
  </si>
  <si>
    <t>Attekas ielas rekonstrukcija</t>
  </si>
  <si>
    <t>Remontdarbi</t>
  </si>
  <si>
    <t>Ādažu centra polderī, Ādažu novadā (I kārta-projektēšana)</t>
  </si>
  <si>
    <t xml:space="preserve">SAM 9311 Deinstitucionalizācija - </t>
  </si>
  <si>
    <t>Dienas centrs</t>
  </si>
  <si>
    <t>7.4.</t>
  </si>
  <si>
    <t>Gala summa</t>
  </si>
  <si>
    <t>Atsauce uz plānošanas dokumentiem</t>
  </si>
  <si>
    <t>Id.Nr. Investīciju plānā</t>
  </si>
  <si>
    <t>2018.gada 23.janvāra</t>
  </si>
  <si>
    <t>Ekspertīze</t>
  </si>
  <si>
    <t>03.04.2018.</t>
  </si>
  <si>
    <t>A2/1/18/123</t>
  </si>
  <si>
    <t>P-94/2018</t>
  </si>
  <si>
    <t>P-218/2018</t>
  </si>
  <si>
    <t>01.06.2018.</t>
  </si>
  <si>
    <t>20.05.2020.</t>
  </si>
  <si>
    <t>A2/1/18/123-V/18/2</t>
  </si>
  <si>
    <t>Būvniecība 1.,2.kārta</t>
  </si>
  <si>
    <t>12.09.2018.</t>
  </si>
  <si>
    <t>20.09.2033.</t>
  </si>
  <si>
    <t>Nr.A2/1/17/641 - V/18/1</t>
  </si>
  <si>
    <t>P-580/2018</t>
  </si>
  <si>
    <t>A2/1/18/644</t>
  </si>
  <si>
    <t>P-538/2018</t>
  </si>
  <si>
    <t>20.06.2048.</t>
  </si>
  <si>
    <t>10.10.2018.</t>
  </si>
  <si>
    <t>20.09.2028.</t>
  </si>
  <si>
    <t>Latvijas Valsts svētku sarīkojumi (programmas, svinīgais sarīkojums Kultūras centrā)</t>
  </si>
  <si>
    <t>Amatiermākslas kolektīvu organizētie pasākumi</t>
  </si>
  <si>
    <t>Ādažu sākumskola (bāze)</t>
  </si>
  <si>
    <t>Kopā 2025. gadā</t>
  </si>
  <si>
    <t>A2/1/18/304</t>
  </si>
  <si>
    <t>A2/1/18/711</t>
  </si>
  <si>
    <t xml:space="preserve">Ādažu centra polderī, Ādažu novadā </t>
  </si>
  <si>
    <t>Asni, derīgo izrakteņu pases atjaunošana</t>
  </si>
  <si>
    <t>A2/1/19/370</t>
  </si>
  <si>
    <t>P-236/2019</t>
  </si>
  <si>
    <t>09.10.2019.</t>
  </si>
  <si>
    <t>20.09.2034.</t>
  </si>
  <si>
    <t xml:space="preserve"> </t>
  </si>
  <si>
    <t>Pārējās privātās vidējās izglītības iestādes</t>
  </si>
  <si>
    <t>Izdevumi par apkuri</t>
  </si>
  <si>
    <t>A2/1/19/421</t>
  </si>
  <si>
    <t>P-269/2019</t>
  </si>
  <si>
    <t>22.11.2019.</t>
  </si>
  <si>
    <t>20.11.2034.</t>
  </si>
  <si>
    <t>Volvo V60</t>
  </si>
  <si>
    <t>02.01.2020.</t>
  </si>
  <si>
    <t>30.12.2024.</t>
  </si>
  <si>
    <t xml:space="preserve">Līzings - jauna automašīna </t>
  </si>
  <si>
    <t>Komunālā saimniecība - DRN</t>
  </si>
  <si>
    <t>Atlikums 31.12.2019.</t>
  </si>
  <si>
    <t>Kopā 2026. gadā</t>
  </si>
  <si>
    <t>20.08.2030.</t>
  </si>
  <si>
    <t>A2/1/20/158</t>
  </si>
  <si>
    <t>P-119/2020</t>
  </si>
  <si>
    <t>Būvniecība 3.kārta izsniegts</t>
  </si>
  <si>
    <t>Ķiršu ielas rekonstrukcija</t>
  </si>
  <si>
    <t>A2/1/20/411</t>
  </si>
  <si>
    <t>P-177/2020</t>
  </si>
  <si>
    <t>29.04.2020.</t>
  </si>
  <si>
    <t>20.04.2048.</t>
  </si>
  <si>
    <t>Nodaļas kods</t>
  </si>
  <si>
    <t>0951</t>
  </si>
  <si>
    <t>P-393/2020</t>
  </si>
  <si>
    <t>P-392/2020</t>
  </si>
  <si>
    <t>13.10.2020.</t>
  </si>
  <si>
    <t>22.09.2025.</t>
  </si>
  <si>
    <t>Šis "Atbalsts klubiem, biedrībām - novada, republikas, starptautisku sacensību organizēšanai novadā (finanšu sēdē tiek atbalstīts saraksts)</t>
  </si>
  <si>
    <t xml:space="preserve">Sociālā aizsardzība - projekti </t>
  </si>
  <si>
    <t>Pasākumi</t>
  </si>
  <si>
    <t>14. pants. (1) Noteikt, ka prognozētie iedzīvotāju ienākuma nodokļa
ieņēmumi pašvaldību budžetos ir 1 332 934 754 euro.
(2) Šā panta pirmajā daļā minēto iedzīvotāju ienākuma nodokļa prognozēto ieņēmumu procentuālais sadalījums pa ceturkšņiem tiek noteikts šādā apmērā: I ceturksnī — 22 procenti, II ceturksnī — 24 procenti, III ceturksnī — 26 procenti, IV ceturksnī — 28 procenti.</t>
  </si>
  <si>
    <t>03.11.2020.</t>
  </si>
  <si>
    <t>(tukšs)</t>
  </si>
  <si>
    <t>A2/1/20/745</t>
  </si>
  <si>
    <t>A2/1/20/746</t>
  </si>
  <si>
    <t>Dotācijas</t>
  </si>
  <si>
    <t>Dotācija</t>
  </si>
  <si>
    <t>Projekts - būvniecība</t>
  </si>
  <si>
    <t>Projekts - pakalpojumi</t>
  </si>
  <si>
    <t>Plānots 05.2021.</t>
  </si>
  <si>
    <t>Plānots 05.2051.</t>
  </si>
  <si>
    <t>Līzings - frontālais iekrāvējs</t>
  </si>
  <si>
    <t>16.11.2020.</t>
  </si>
  <si>
    <t>20.11.2025.</t>
  </si>
  <si>
    <t>Līzings - mikroautobuss</t>
  </si>
  <si>
    <t>Plānots 2021.</t>
  </si>
  <si>
    <t>2026.</t>
  </si>
  <si>
    <t>Latvijas Neatkarības atjaunošanas diena 04.05., "Baltā galdauta svētki"</t>
  </si>
  <si>
    <t>0150 - Pārējās komisijas</t>
  </si>
  <si>
    <t>Kopā 2027. gadā</t>
  </si>
  <si>
    <t>Gaujas ielas gājēju celiņa izbūve</t>
  </si>
  <si>
    <t>Pirmās ielas stāvlaukums pie ĀPII</t>
  </si>
  <si>
    <t>12.4.1.</t>
  </si>
  <si>
    <t>12.4.2.</t>
  </si>
  <si>
    <t>12.4.3.</t>
  </si>
  <si>
    <t>12.5.</t>
  </si>
  <si>
    <t>1.9.</t>
  </si>
  <si>
    <t>Nr.</t>
  </si>
  <si>
    <t>CKS</t>
  </si>
  <si>
    <t>Autostāvvietas izbūve Karlsona parkā, Garciemā, Carnikavas novadā</t>
  </si>
  <si>
    <t>Centrālbaltijas projekts "Coast4us"</t>
  </si>
  <si>
    <t>Tautas nams "Ozolaine"</t>
  </si>
  <si>
    <t>Carnikavas pamatskola</t>
  </si>
  <si>
    <t>Carnikava</t>
  </si>
  <si>
    <t>Nr.p.k.</t>
  </si>
  <si>
    <t>Aizņēmums</t>
  </si>
  <si>
    <t>PII Riekstiņš</t>
  </si>
  <si>
    <t>Projekts "Skolas soma" Ādaži</t>
  </si>
  <si>
    <t>ESF projekts Karjeras atbalsts vispārējās un profesionālās izglītības iestādēs ©</t>
  </si>
  <si>
    <t>ES Padomes projekts LIFE COHABIT ©</t>
  </si>
  <si>
    <t>pārrobežu EST-LAT projekts "Militārais mantojums</t>
  </si>
  <si>
    <t>pārrobežu projektu ieņēmumi ©</t>
  </si>
  <si>
    <t>12.3.1.</t>
  </si>
  <si>
    <t>12.3.2.</t>
  </si>
  <si>
    <t>ieņēmumi par telpu nomu</t>
  </si>
  <si>
    <t>ieņēmumi par zemes nomu</t>
  </si>
  <si>
    <t>12.3.3.</t>
  </si>
  <si>
    <t>pārējie ieņēmumi par nomu ©</t>
  </si>
  <si>
    <t>ieņēmumi no dzīvokļu un komunālajiem pakalpojumiem ©</t>
  </si>
  <si>
    <t>Pārrobežu EST-LAT projekts "Militārais mantojums ©</t>
  </si>
  <si>
    <t>LAD projekts "Laivu ielas un tai piegulošā auto stāvlaukuma projektēšana un būvniecība" ©</t>
  </si>
  <si>
    <t>13.3.</t>
  </si>
  <si>
    <t>Pārjaunojuma līgums visiem līgumiem līdz 2015.gadam</t>
  </si>
  <si>
    <t>05.03.2019.</t>
  </si>
  <si>
    <t>Investīciju projektu īstenošanai (saistību pārjaunojums) Nr.A2/1/21/139 Trančes Nr.PP-14/2021</t>
  </si>
  <si>
    <t>26.04.2021.</t>
  </si>
  <si>
    <t xml:space="preserve">ELFLA projekts pievadceļu attīstība lauksaimniecības uzņēmumiem </t>
  </si>
  <si>
    <t>05.04.2018.</t>
  </si>
  <si>
    <t xml:space="preserve">Komunālās saimniecības investīcijas transportam </t>
  </si>
  <si>
    <t>28.05.2018.</t>
  </si>
  <si>
    <t>Būvprojekta "Kultūras un amatniecības centra pārbūve īpašumā "Blusas"" izstrāde</t>
  </si>
  <si>
    <t>ERAF projekts Natura 2000 Atpūtas taka Carnikavā</t>
  </si>
  <si>
    <t>ES Interreg Igaunijas - Latvijas projekts "Hiking Route Along the Baltic Sea Coastline in Latvia-Estonia"</t>
  </si>
  <si>
    <t>Ceļu, ielu infrastruktūras programma1.kārta</t>
  </si>
  <si>
    <t>Prioritāro projektu īstenošana: bērnu rotaļu laukumi Carnikavas novadā</t>
  </si>
  <si>
    <t>12.07.2018.</t>
  </si>
  <si>
    <t>Izglītības iestāžu investīciju projekts - Carnikavas izglītības iestādes būvniecība no moduļiem</t>
  </si>
  <si>
    <t>03.08.2018.</t>
  </si>
  <si>
    <t>Izglītības iestāžu investīciju projekts - Piejūras PII būvniecība</t>
  </si>
  <si>
    <t>Ceļu, ielu infrastruktūras programma 2.kārta</t>
  </si>
  <si>
    <t>04.09.2018.</t>
  </si>
  <si>
    <t>Ceļu, ielu infrastruktūras programma 3.kārta</t>
  </si>
  <si>
    <t>Ceļu, ielu infrastruktūras programma 4.kārta</t>
  </si>
  <si>
    <t>12.11.2018.</t>
  </si>
  <si>
    <t xml:space="preserve">Prioritārais projekts Dambja būvniecība Valteru ielā </t>
  </si>
  <si>
    <t>21.11.2018.</t>
  </si>
  <si>
    <t>ELFLA Eimuru - Mangaļu poldera meliorācijas grāvju atjaunošana Carnikavas novadā</t>
  </si>
  <si>
    <t>06.03.2019.</t>
  </si>
  <si>
    <t>ERAF projekta SAM 3.3.1. Uzņēmējdarbības attīstībai nepieciešamās infrastruktūras attīstībai Carnikavas novada Garciemā" īstenošanai</t>
  </si>
  <si>
    <t>13.06.2019.</t>
  </si>
  <si>
    <t>SAM 5.5.1. Kultūras objektu būvniecība</t>
  </si>
  <si>
    <t>11.12.2019.</t>
  </si>
  <si>
    <t>27.08.2020.</t>
  </si>
  <si>
    <t>Carnikavas novada pašvaldības transporta infrstruktūras attīstība</t>
  </si>
  <si>
    <t>01.10.2020.</t>
  </si>
  <si>
    <t>KF projekts "Ūdenssaimniecības pakalpojumu attīstība Carnikavā III kārta"</t>
  </si>
  <si>
    <t>ERAF "Carnikavas pamatskolas pārbūve"</t>
  </si>
  <si>
    <t>26.01.2021.</t>
  </si>
  <si>
    <t>LAD  projekts koka laipu taka uz jūru</t>
  </si>
  <si>
    <t>Budžeta un finanšu vadībai (Aprīkojums PII Piejūra)</t>
  </si>
  <si>
    <t>25.03.2021.</t>
  </si>
  <si>
    <t>Stacijas ielas pārbūve</t>
  </si>
  <si>
    <t>30.04.2021.</t>
  </si>
  <si>
    <t>27.05.2021.</t>
  </si>
  <si>
    <t>Lielās ielas pārbūve</t>
  </si>
  <si>
    <t>PII Piejūra būvniecības pabeigšana</t>
  </si>
  <si>
    <t>08.04.2021.</t>
  </si>
  <si>
    <t>Prioritārais projekts "PII "Piejūra" būvniecība"</t>
  </si>
  <si>
    <t>24.02.2021.</t>
  </si>
  <si>
    <t>Aizņēmumu pamatsummas atmaksa - kopā</t>
  </si>
  <si>
    <t>PP-5/2019</t>
  </si>
  <si>
    <r>
      <t xml:space="preserve">A2/1/19/50  </t>
    </r>
    <r>
      <rPr>
        <b/>
        <sz val="8"/>
        <rFont val="Times New Roman"/>
        <family val="1"/>
        <charset val="186"/>
      </rPr>
      <t xml:space="preserve"> </t>
    </r>
  </si>
  <si>
    <t>PP-14/2021</t>
  </si>
  <si>
    <t>A2/1/21/139</t>
  </si>
  <si>
    <t>P-109/2018</t>
  </si>
  <si>
    <t>A2/1/18/139</t>
  </si>
  <si>
    <t>P-200/2018</t>
  </si>
  <si>
    <t>A2/1/18/252</t>
  </si>
  <si>
    <t>P-201/2018</t>
  </si>
  <si>
    <t>A2/1/18/253</t>
  </si>
  <si>
    <t>P-202/2018</t>
  </si>
  <si>
    <t>A2/1/18/254</t>
  </si>
  <si>
    <t>P-203/2018</t>
  </si>
  <si>
    <t>A2/1/18/255</t>
  </si>
  <si>
    <t>P-205/2018</t>
  </si>
  <si>
    <t>A2/1/18/251</t>
  </si>
  <si>
    <t>P-374/2018</t>
  </si>
  <si>
    <t>A2/1/18/452</t>
  </si>
  <si>
    <t>P-436/2018</t>
  </si>
  <si>
    <t>A2/1/18/528</t>
  </si>
  <si>
    <t>P-435/2018</t>
  </si>
  <si>
    <t>A2/1/18/529</t>
  </si>
  <si>
    <t>P-500/2018</t>
  </si>
  <si>
    <t>A2/1/18/611</t>
  </si>
  <si>
    <t>P-537/2018</t>
  </si>
  <si>
    <t>A2/1/18/643</t>
  </si>
  <si>
    <t>P-643/2018</t>
  </si>
  <si>
    <t>A2/1/18/777</t>
  </si>
  <si>
    <t>P-666/2018</t>
  </si>
  <si>
    <t>A2/1/18/818</t>
  </si>
  <si>
    <t>P-10/2021 PRIO</t>
  </si>
  <si>
    <t>A2/1/21/41</t>
  </si>
  <si>
    <t>P-69/2021 COVID PII</t>
  </si>
  <si>
    <t>A2/1/21/120</t>
  </si>
  <si>
    <t>A2/1/21/232</t>
  </si>
  <si>
    <t>A2/1/21/231</t>
  </si>
  <si>
    <t>A2/1/21/169</t>
  </si>
  <si>
    <t>P-43/2021</t>
  </si>
  <si>
    <t>A2/1/21/96</t>
  </si>
  <si>
    <t>P-3/2021</t>
  </si>
  <si>
    <t>A2/1/21/11</t>
  </si>
  <si>
    <t>P-4/2021</t>
  </si>
  <si>
    <t>P-339/2020</t>
  </si>
  <si>
    <t>A2/1/21/10</t>
  </si>
  <si>
    <t>A2/1/20/675</t>
  </si>
  <si>
    <t>P-338/2020</t>
  </si>
  <si>
    <t>A2/1/20/676</t>
  </si>
  <si>
    <t>P-267/2020</t>
  </si>
  <si>
    <t>A2/1/20/586</t>
  </si>
  <si>
    <t>P-292/2019</t>
  </si>
  <si>
    <t>A2/1/19/460</t>
  </si>
  <si>
    <t>P-150/2019</t>
  </si>
  <si>
    <t>A2/1/19/225</t>
  </si>
  <si>
    <t>P-31/2019</t>
  </si>
  <si>
    <t>A2/1/19/57</t>
  </si>
  <si>
    <t>Aizņēmumu procentu maksājumi - kopā</t>
  </si>
  <si>
    <t>Galvojumi un citas ilgtermiņa saistības - kopā:</t>
  </si>
  <si>
    <t>Aizņēmumu saistības kopā:</t>
  </si>
  <si>
    <t>P-89/2021 COVID</t>
  </si>
  <si>
    <t>P-164/2021 COVID</t>
  </si>
  <si>
    <t>P-163/2021 COVID</t>
  </si>
  <si>
    <t>Ādaži</t>
  </si>
  <si>
    <t>Kopā citas ilgtermiņa saistības Ādaži:</t>
  </si>
  <si>
    <t>20.09.2040.</t>
  </si>
  <si>
    <t>20.09.2035.</t>
  </si>
  <si>
    <t>21.06.2038.</t>
  </si>
  <si>
    <t>22.03.2038.</t>
  </si>
  <si>
    <t>20.05.2025.</t>
  </si>
  <si>
    <t>22.05.2023.</t>
  </si>
  <si>
    <t>20.05.2038.</t>
  </si>
  <si>
    <t>20.05.2033.</t>
  </si>
  <si>
    <t>20.06.2028.</t>
  </si>
  <si>
    <t>20.07.2048.</t>
  </si>
  <si>
    <t>20.08.2038.</t>
  </si>
  <si>
    <t>20.10.2038.</t>
  </si>
  <si>
    <t>22.11.2038.</t>
  </si>
  <si>
    <t>20.02.2029.</t>
  </si>
  <si>
    <t>20.05.2049.</t>
  </si>
  <si>
    <t>21.11.2039.</t>
  </si>
  <si>
    <t>20.09.2050.</t>
  </si>
  <si>
    <t>20.01.2051.</t>
  </si>
  <si>
    <t>20.01.2031.</t>
  </si>
  <si>
    <t>20.03.2024.</t>
  </si>
  <si>
    <t>20.04.2051.</t>
  </si>
  <si>
    <t>20.05.2041.</t>
  </si>
  <si>
    <t>20.03.2051.</t>
  </si>
  <si>
    <t>20.02.2051.</t>
  </si>
  <si>
    <t>Mežaparka ceļa pārbūve</t>
  </si>
  <si>
    <t>V</t>
  </si>
  <si>
    <t>P-481/2021</t>
  </si>
  <si>
    <t>21.09.2026.</t>
  </si>
  <si>
    <t>A2/1/21/632</t>
  </si>
  <si>
    <t>14.10.2021.</t>
  </si>
  <si>
    <t>0957</t>
  </si>
  <si>
    <t>Sociālais dienests - SAM 9311 Deinstitucionalizācija - Dienas centrs Ādaži</t>
  </si>
  <si>
    <t>Sociālais dienests - SAM 9311 Deinstitucionalizācija - Dienas centrs Carnikava</t>
  </si>
  <si>
    <t>09824</t>
  </si>
  <si>
    <t>VISA projekts "Atbalsts izglītojamo individuālo kompetenču attīstībai" Carnikava</t>
  </si>
  <si>
    <t>Funkcija_DL</t>
  </si>
  <si>
    <t>Bāze</t>
  </si>
  <si>
    <t>Investīcijas</t>
  </si>
  <si>
    <t>Bāze_kapitālās</t>
  </si>
  <si>
    <t>0982</t>
  </si>
  <si>
    <t>09822</t>
  </si>
  <si>
    <t>0901</t>
  </si>
  <si>
    <t>0932</t>
  </si>
  <si>
    <t>0931</t>
  </si>
  <si>
    <t>Informācijas tehnoloģiju nodaļa</t>
  </si>
  <si>
    <t>Procenti/ parāda apkalpošana</t>
  </si>
  <si>
    <t>PFI</t>
  </si>
  <si>
    <t>Bāze_pasākumi</t>
  </si>
  <si>
    <t>Iniciatīvas</t>
  </si>
  <si>
    <t>Finansējums Ādažu novada sporta komandām</t>
  </si>
  <si>
    <t>Izdevumu tāme</t>
  </si>
  <si>
    <t>Sporta veids</t>
  </si>
  <si>
    <t>Transports</t>
  </si>
  <si>
    <t>Dalības maksas, licences, saskaņā ar Federāciju izcenojumu</t>
  </si>
  <si>
    <t>Formas</t>
  </si>
  <si>
    <t>Kopā sekcijā</t>
  </si>
  <si>
    <t xml:space="preserve">Florbols </t>
  </si>
  <si>
    <t>Amatieru grupas komanda</t>
  </si>
  <si>
    <t xml:space="preserve">Basketbols </t>
  </si>
  <si>
    <t>Pavisam kopā</t>
  </si>
  <si>
    <t>Pasākums</t>
  </si>
  <si>
    <t>Norises vieta</t>
  </si>
  <si>
    <t>Kopējie izdevumi</t>
  </si>
  <si>
    <t>Jaungada džudo turnīrs</t>
  </si>
  <si>
    <t>Hokeja turnīrs (plānots vairākso posmos gan Ādažos, gan Carnikavā)</t>
  </si>
  <si>
    <t>Ādaži/Carnikava/Garkalne</t>
  </si>
  <si>
    <t>Ādažu novada sporta laureāts</t>
  </si>
  <si>
    <t>Carnikavas kauss zolītē</t>
  </si>
  <si>
    <t>Carnikavas pavasara nūjošana</t>
  </si>
  <si>
    <t>Ādažu pavasara MTB velomaratons</t>
  </si>
  <si>
    <t xml:space="preserve">Vējupes festivāls "PAVASARIS 2022" </t>
  </si>
  <si>
    <t>GAUJAS SVĒTKU sporta programma</t>
  </si>
  <si>
    <t>Ekstrēmo sporta veidu fetsivāls (norisinās pumpu trasē)</t>
  </si>
  <si>
    <t>Zvejnieksvētki (airēšana, spēkavīri, zolīte, makšķerēšana, novuss)</t>
  </si>
  <si>
    <t>Garkalnes ciema SPORTA FESTIVĀLS</t>
  </si>
  <si>
    <t>Garkalne</t>
  </si>
  <si>
    <t>Kalngales "Kaimiņu dienas"</t>
  </si>
  <si>
    <t>Kalngale</t>
  </si>
  <si>
    <t>A.Vītoliņa piemiņas turnīrs šahā</t>
  </si>
  <si>
    <t>Carnikavas kauss futbolā veterāniem/ D.Gudermaņa kauss</t>
  </si>
  <si>
    <t>Ādažu komandu sporta festivāls "IEDOD PIESPĒLI" (4 posmi -2 Carnikavā - 2 Ādažos)</t>
  </si>
  <si>
    <t>Ādaži, Carnikava</t>
  </si>
  <si>
    <t>Nēģu svētku sporta programma</t>
  </si>
  <si>
    <t>Ādažu aktīvās atpūtas un sporta diena "Ādaži Sporto"</t>
  </si>
  <si>
    <t>Carnikavas rudens riteņbrauciens</t>
  </si>
  <si>
    <t>Aktīvā pastaiga "IeČāpo"</t>
  </si>
  <si>
    <t>Carnikavas rudens kross</t>
  </si>
  <si>
    <t>Ziemassvēku kauss zolītē</t>
  </si>
  <si>
    <t>Škēršļu skrējiens</t>
  </si>
  <si>
    <t>Izdevumi kopā:</t>
  </si>
  <si>
    <t>Bāze_Pasākumi</t>
  </si>
  <si>
    <t>Disku golfa laukuma izveide Carnikavā, Zibeņu trasē</t>
  </si>
  <si>
    <t>summa</t>
  </si>
  <si>
    <t>Ikgadējā maksa sporta federācijām</t>
  </si>
  <si>
    <t>FEDERĀCIJA</t>
  </si>
  <si>
    <t>SUMMA</t>
  </si>
  <si>
    <t>Latvijas triatlona federācija</t>
  </si>
  <si>
    <t>Latvijas tautas sporta asociācija</t>
  </si>
  <si>
    <t>Latvijas riteņbraukšanas federācija</t>
  </si>
  <si>
    <t>Latvijas skolu sporta federācija</t>
  </si>
  <si>
    <t>kopā</t>
  </si>
  <si>
    <t>sporta laukuma skrejceļa segums ir nolietojies un neatbilst mūsdienu prasībām</t>
  </si>
  <si>
    <t>Pieaugušo un mūžizglītības kursi (novada iedzīvotājiem ar dalībnieku līdzfinansējumu)</t>
  </si>
  <si>
    <t>Bāze_pabalsti</t>
  </si>
  <si>
    <t>CKS - Domes teritorijas kopšana,uzturēšana (bāze)</t>
  </si>
  <si>
    <t>Nav iekļauts bāzes aprēķinos</t>
  </si>
  <si>
    <t>5.5.</t>
  </si>
  <si>
    <t>Bibliotēka Ādaži (bāze)</t>
  </si>
  <si>
    <t>Bibliotēka Carnikava (bāze)</t>
  </si>
  <si>
    <t>Muzejs_Carnikavas novadpētniecības centrs (bāze)</t>
  </si>
  <si>
    <t>Tautas nams "Ozolaine" (bāze)</t>
  </si>
  <si>
    <t>7.5.</t>
  </si>
  <si>
    <t>Sociālā centra "Kadiķis" uzturēšana (bāze)</t>
  </si>
  <si>
    <t>Stipendiāti / bezdarbnieki (bāze)</t>
  </si>
  <si>
    <t>Pirmsskolas izglītības iestāde "Riekstiņš" (bāze)</t>
  </si>
  <si>
    <t>Pirmsskolas izglītības iestādes "Piejūra" (bāze)</t>
  </si>
  <si>
    <t>Pirmsskolas izglītības iestādes Ādažu vidusskolā (bāze)</t>
  </si>
  <si>
    <t>Carnikavas pamatskola (bāze)</t>
  </si>
  <si>
    <t>https://www.vestnesis.lv/op/2021/234A.1</t>
  </si>
  <si>
    <t>A2/1/21/729</t>
  </si>
  <si>
    <t>02.12.2021.</t>
  </si>
  <si>
    <t>P-556/2021</t>
  </si>
  <si>
    <t>20.11.2040.</t>
  </si>
  <si>
    <t>A2/1/21/727</t>
  </si>
  <si>
    <t>P-558/2021</t>
  </si>
  <si>
    <t>20.11.2031.</t>
  </si>
  <si>
    <t>A2/1/21/728</t>
  </si>
  <si>
    <t>P-557/2021</t>
  </si>
  <si>
    <t>Carnikavas pamatskolas infrastruktūras uzlabošana un mācību vides labiekārtošana</t>
  </si>
  <si>
    <t>VISA projekts "Atbalsts izglītojamo individuālo kompetenču attīstībai" Ādaži</t>
  </si>
  <si>
    <t>Teritorijas plānošanas nodaļa (bāze)</t>
  </si>
  <si>
    <t>Cits finansējums</t>
  </si>
  <si>
    <t>Kopsumma</t>
  </si>
  <si>
    <t>KOPĀ BĀZES IZDEVUMI</t>
  </si>
  <si>
    <t>0170</t>
  </si>
  <si>
    <t>08.290 8 SAM 5.5.1. Kultūras objektu būvniecība (Saviļņojošā vidzeme)</t>
  </si>
  <si>
    <t>BĀZES IEŅĒMUMI - BĀZES IZDEVUMI</t>
  </si>
  <si>
    <t>Kredītu pamatsummu atmaksas:</t>
  </si>
  <si>
    <t>Atlikums:</t>
  </si>
  <si>
    <t>A2/1/21/776</t>
  </si>
  <si>
    <t>P-583/2021</t>
  </si>
  <si>
    <t>23.12.2021.</t>
  </si>
  <si>
    <t>21.12.2026.</t>
  </si>
  <si>
    <t>Uz CKS</t>
  </si>
  <si>
    <t>Parāda procentu maksājumi</t>
  </si>
  <si>
    <t>0902</t>
  </si>
  <si>
    <t>Projekts "Skolas soma" Carnikava</t>
  </si>
  <si>
    <t>Projekts Skolas soma</t>
  </si>
  <si>
    <t>Aizvēju ielas Garciemā, dubultā virsmas apstrāde</t>
  </si>
  <si>
    <t>Laivu ielas (no Cēlāju ciema līdz jūrai Carnikavā) un tai piegulošā auto stāvlaukuma projektēšana un būvniecība</t>
  </si>
  <si>
    <t>CKS - dzīvokļu un komunālajiem pakalpojumi (bāze)</t>
  </si>
  <si>
    <t>Teritorijas plānošanas nodaļa</t>
  </si>
  <si>
    <t>Attīstības un projektu nodaļa (bāze)</t>
  </si>
  <si>
    <t>Bāzes ieņēmumi</t>
  </si>
  <si>
    <t>Bāzes izdevumi</t>
  </si>
  <si>
    <t>C5.1.3.1.</t>
  </si>
  <si>
    <t>Ā12.1.2.3.</t>
  </si>
  <si>
    <t>C12.1.2.1.</t>
  </si>
  <si>
    <t>C4.2.1.1.1.</t>
  </si>
  <si>
    <t xml:space="preserve">C14.1.1.1. </t>
  </si>
  <si>
    <t xml:space="preserve">Ā15.1.2.1. un C15.1.2.1. </t>
  </si>
  <si>
    <t xml:space="preserve">Ā15.1.2.4. </t>
  </si>
  <si>
    <t>Carnikavas Nēģu svētki</t>
  </si>
  <si>
    <t>Kopā 2028. gadā</t>
  </si>
  <si>
    <t>saistošajiem noteikumiem Nr.2/2019</t>
  </si>
  <si>
    <t xml:space="preserve"> Bukultu ielas rekonstrukcija</t>
  </si>
  <si>
    <t>Priežu ielas rekonstrukcija</t>
  </si>
  <si>
    <t>pārējie ieņēmumi/ stāvvietu ieņēmumi</t>
  </si>
  <si>
    <t>Ādažu pašvaldības aizņēmumu un citu ilgtermiņa saistību pārskats</t>
  </si>
  <si>
    <t xml:space="preserve">Skolas ielas projektēšana izbūve - </t>
  </si>
  <si>
    <t>3.kārta</t>
  </si>
  <si>
    <t>7.6.</t>
  </si>
  <si>
    <t>7.7.</t>
  </si>
  <si>
    <t>7.8.</t>
  </si>
  <si>
    <t>7.9.</t>
  </si>
  <si>
    <t>0841.3</t>
  </si>
  <si>
    <t>0841.2</t>
  </si>
  <si>
    <t>1014.1</t>
  </si>
  <si>
    <t>1014.2</t>
  </si>
  <si>
    <t>0510</t>
  </si>
  <si>
    <t>0632.2</t>
  </si>
  <si>
    <t>0633.2</t>
  </si>
  <si>
    <t>0633.3</t>
  </si>
  <si>
    <t>0841.1</t>
  </si>
  <si>
    <t>1013.1</t>
  </si>
  <si>
    <t>Dabas resursu nodoklis</t>
  </si>
  <si>
    <t>IIN budžeta dotācija</t>
  </si>
  <si>
    <t>0633.4</t>
  </si>
  <si>
    <t>0634</t>
  </si>
  <si>
    <t>0933</t>
  </si>
  <si>
    <t>09825</t>
  </si>
  <si>
    <t>0660</t>
  </si>
  <si>
    <t>A2/1/22/123</t>
  </si>
  <si>
    <t>P-70/2022</t>
  </si>
  <si>
    <t>31.05.2022.</t>
  </si>
  <si>
    <t>20.05.2037.</t>
  </si>
  <si>
    <t>Ādažu vēstis</t>
  </si>
  <si>
    <t xml:space="preserve">Skolas siltināšana un stadiona </t>
  </si>
  <si>
    <t>rekonstrukcija</t>
  </si>
  <si>
    <t>A2/1/22/15</t>
  </si>
  <si>
    <t>P-7/2022</t>
  </si>
  <si>
    <t>20.01.2037.</t>
  </si>
  <si>
    <t xml:space="preserve">0130 Administratīvā komisija </t>
  </si>
  <si>
    <t>02.02.2022
08.08.2022</t>
  </si>
  <si>
    <t>A2/1/22/16
A2/1/22/265</t>
  </si>
  <si>
    <t>P-8/2022
P-175/2022</t>
  </si>
  <si>
    <t>22.07.2029.</t>
  </si>
  <si>
    <t>A2/1/22/239</t>
  </si>
  <si>
    <t>P-160/2022</t>
  </si>
  <si>
    <t>20.07.2022.</t>
  </si>
  <si>
    <t>20.07.2027.</t>
  </si>
  <si>
    <t>04.07.2022.</t>
  </si>
  <si>
    <t>20.06.2027.</t>
  </si>
  <si>
    <t>A2/1/22/267</t>
  </si>
  <si>
    <t>P-163/2022</t>
  </si>
  <si>
    <t>03.08.2022.</t>
  </si>
  <si>
    <t>20.07.2032.</t>
  </si>
  <si>
    <t>0630.2</t>
  </si>
  <si>
    <t>0630.1</t>
  </si>
  <si>
    <t>0912 - AID - SAM 4.2.2. ĀPII siltināšanas projekts</t>
  </si>
  <si>
    <t>0830 - Ādažu bibliotēka</t>
  </si>
  <si>
    <t>0930 - Izglītības un jauniešu lietu pārvalde</t>
  </si>
  <si>
    <t>0962 - Ādažu mākslas un mūzikas skola</t>
  </si>
  <si>
    <t>0960 - Ādažu mākslas un mūzikas skola</t>
  </si>
  <si>
    <t>0831 - Carnikavas bibliotēka</t>
  </si>
  <si>
    <t>0648 - Komunālā saimniecība 0648</t>
  </si>
  <si>
    <t>0340 - Pašvaldības policija</t>
  </si>
  <si>
    <t>0910 - Ādažu Pirmsskolas izglītibas iestāde</t>
  </si>
  <si>
    <t>0911 - Ādažu Pirmsskolas izglītibas iestāde</t>
  </si>
  <si>
    <t>0843 - Ādažu Pirmsskolas izglītibas iestāde - Multihalle</t>
  </si>
  <si>
    <t xml:space="preserve">0950 - Ādažu vidusskola </t>
  </si>
  <si>
    <t xml:space="preserve">0954 - Ādažu vidusskola </t>
  </si>
  <si>
    <t>0982 - Carnikavas pamatskola</t>
  </si>
  <si>
    <t>09821 - Carnikavas pamatskola</t>
  </si>
  <si>
    <t>09825 - Carnikavas pamatskola Erasmus+</t>
  </si>
  <si>
    <t>1030 - Bāriņtiesa</t>
  </si>
  <si>
    <t>0620 - BŪVVALDE</t>
  </si>
  <si>
    <t>0921 - Kadagas pirmsskolas izglītības iestāde</t>
  </si>
  <si>
    <t>0920 - Kadagas pirmsskolas izglītības iestāde</t>
  </si>
  <si>
    <t>0111 - Deputāti</t>
  </si>
  <si>
    <t>0880 - Evaņģēliski luteriskās draudzes</t>
  </si>
  <si>
    <t xml:space="preserve">0140 - Iepirkumu komisija </t>
  </si>
  <si>
    <t>0170 - Informācijas tehnoloģiju nodaļa</t>
  </si>
  <si>
    <t>0670 - INFRASTRUKTŪRAS UN VIDES NODAĻA</t>
  </si>
  <si>
    <t>0841.1 - KC</t>
  </si>
  <si>
    <t>0841.3 - Muzejs_Carnikavas novadpētniecības centrs</t>
  </si>
  <si>
    <t>0610 - Neparedzēti gadījumi</t>
  </si>
  <si>
    <t>0901 - PII Riekstiņš</t>
  </si>
  <si>
    <t>09011 - PII Riekstiņš</t>
  </si>
  <si>
    <t>0952 - PII_AVS</t>
  </si>
  <si>
    <t>09521 - PII_AVS</t>
  </si>
  <si>
    <t>0490 - Sabiedriskās attiecības, informācija</t>
  </si>
  <si>
    <t>0490.1 - Sabiedrisko attiecību daļa - Ādažu vēstis</t>
  </si>
  <si>
    <t>09822 - Skolas soma Carnikavas pamatskola</t>
  </si>
  <si>
    <t>0951 - Skolas_soma Ādaži</t>
  </si>
  <si>
    <t>1010 - Sociālais dienests</t>
  </si>
  <si>
    <t>1012 - Sociālais dienests - asistenti</t>
  </si>
  <si>
    <t>1014.1 - Sociālais dienests - SAM 9311 Deinstitucionalizācija - Dienas centrs Ādaži</t>
  </si>
  <si>
    <t>1014.2 - Sociālais dienests - SAM 9311 Deinstitucionalizācija - Dienas centrs Carnikava</t>
  </si>
  <si>
    <t>1015 - Sociālā centra "Kadiķis" uzturēšana</t>
  </si>
  <si>
    <t>0812 - Sporta daļa</t>
  </si>
  <si>
    <t>0965 - Sporta skola</t>
  </si>
  <si>
    <t>09651 - Sporta skola</t>
  </si>
  <si>
    <t>1011 - Stipendiāti / bezdarbnieki</t>
  </si>
  <si>
    <t>0841.2 - Tautas nams "Ozolaine"</t>
  </si>
  <si>
    <t>0660 - TERITORIJAS PLĀNOŠANAS NODAĻA</t>
  </si>
  <si>
    <t>0970 - Valdorfa skola</t>
  </si>
  <si>
    <t xml:space="preserve">0120 - Vēlēšanu komisija </t>
  </si>
  <si>
    <t>Carnikavas stadiona rekonstrukcija</t>
  </si>
  <si>
    <t>0643 - Komunālā saimniecība - Gaujas 33A</t>
  </si>
  <si>
    <t>09823 - Carnikavas stadiona rekonstrukcija</t>
  </si>
  <si>
    <t>09823</t>
  </si>
  <si>
    <t>2023.gada plāns EUR</t>
  </si>
  <si>
    <t>2023.gada plāns/ detaļas</t>
  </si>
  <si>
    <t>0957 - Ādažu vidusskola ERASMUS</t>
  </si>
  <si>
    <t>21.3.8.9.</t>
  </si>
  <si>
    <t>21.3.9.9.</t>
  </si>
  <si>
    <t xml:space="preserve">0902 - PII Piejūra </t>
  </si>
  <si>
    <t xml:space="preserve">09021 - PII Piejūra </t>
  </si>
  <si>
    <t>Kora JUMIS draudzības koncerts</t>
  </si>
  <si>
    <t>Kora MUNDUS koncerts</t>
  </si>
  <si>
    <t xml:space="preserve">VPDK SĀNSOLĪTIS sadancis </t>
  </si>
  <si>
    <t>VPDK SPRIGULĪTIS koncerts</t>
  </si>
  <si>
    <t>SDK DĒKA sadancis</t>
  </si>
  <si>
    <t>ĀKC deju kolektīvu ZIEMAS SAULGRIEŽU koncerts (visi deju kolektīvi)</t>
  </si>
  <si>
    <t>Dziesmu svētku ieskaņas koncerts (deju kolektīvi)</t>
  </si>
  <si>
    <t>Senioru ansambļu koncerts</t>
  </si>
  <si>
    <t xml:space="preserve">Amatierteātris KONTAKTS jauniestudējums </t>
  </si>
  <si>
    <t>Amatierteātris KONTAKTS dalība Dziesmu svētku skatē (scenogrāfija un tehniskais nodrošinājums skates- izrādes norises vietā)</t>
  </si>
  <si>
    <t>Organizatoriskie izdevumi Dziesmu svētku sagatavošanas procesa nodrošināšanai- skatu organizēšanai Pierīgas reģionā</t>
  </si>
  <si>
    <t>VPDK SPRIGULIS Ādažu novada jakas 12gab.</t>
  </si>
  <si>
    <t>Kora SAKNES materiāls sieviešu apmetņu izgatavošanai</t>
  </si>
  <si>
    <t>Kora SAKNES materiāls vīriešu apmetņu izgatavošanai</t>
  </si>
  <si>
    <t xml:space="preserve">Kora diriģenta žakate (materiāls un izgatavošana) </t>
  </si>
  <si>
    <r>
      <t>Novada svētki GAUJAS SVĒTKI ĀDAŽOS izdevumu tāmes plāns (</t>
    </r>
    <r>
      <rPr>
        <sz val="14"/>
        <color theme="1"/>
        <rFont val="Calibri"/>
        <family val="2"/>
        <scheme val="minor"/>
      </rPr>
      <t>pamatots uz 2019.gada svētku izdevumiem)</t>
    </r>
  </si>
  <si>
    <t xml:space="preserve">2023.gada 27.maijs Ādaži </t>
  </si>
  <si>
    <t>Liela mēroga masu pasākuma izdevumi:</t>
  </si>
  <si>
    <t>35% - mākslinieciskā programma, apkalpošana</t>
  </si>
  <si>
    <t>45% - tehniskais nodrošinājums, saimniecība, infrastruktūra, drošiba</t>
  </si>
  <si>
    <t>10%- publicitāte</t>
  </si>
  <si>
    <t>10% citi izdevumi</t>
  </si>
  <si>
    <t>Summa BEZ NODOKĻIEM
EUR</t>
  </si>
  <si>
    <t>Summa EUR
(iesk.nod.)</t>
  </si>
  <si>
    <t>sadarbība</t>
  </si>
  <si>
    <t>MĀKSLINIEKI, PROGRAMMAS</t>
  </si>
  <si>
    <t xml:space="preserve">Svētku koncepcijas izstrāde, organizācija, 
realizācija,dienas programmu  nodrošināšana, radošā grupa, visu tehnisko, satura, mārketinga sadaļu nodrošināšana </t>
  </si>
  <si>
    <t>Nodrošina ĀKC</t>
  </si>
  <si>
    <t>Mākslinieciskā  programma (orķestris plus solisti)</t>
  </si>
  <si>
    <t>Orķestra mākslinieciskā sagatavošana, dalībnieku homorāri</t>
  </si>
  <si>
    <t>Programmas solisti 20 mākslinieki (honorārs vidēji EUR 200)</t>
  </si>
  <si>
    <t xml:space="preserve">Projekta skaņu operators </t>
  </si>
  <si>
    <t>Grimmētāju pakalpojumi, stils</t>
  </si>
  <si>
    <t xml:space="preserve">Gaujas svētku vakara programmas pārraudzība ( režisors, skatuves administratori, programmas sagatavošana,mūzikas aranžijas, mēģinājumu nodrošināšana) </t>
  </si>
  <si>
    <t>KONCERTSPĒLE/ mākslinieki, (+tērpu, mākslas studija dienas programmā) grupa, menedžments, rekvizīti flīģeļi ( papildus piedalās visi ĀKC kori 100 dalībnieki)</t>
  </si>
  <si>
    <t>Performance ZIEDU DUETS (4,5X5,5 m gigantiskas ziedu konstrukcijas ar iebūvētu tehniku, LNO solisti programma- pasaules opermūzikas un mūziklu dueti)</t>
  </si>
  <si>
    <t>Profesionāla deju ansambļa koncerts</t>
  </si>
  <si>
    <t>Sadarbība</t>
  </si>
  <si>
    <t xml:space="preserve">Programmu nodrošināšana svētku teritorijā </t>
  </si>
  <si>
    <t>Mūziķu grupa/koncertprogramma</t>
  </si>
  <si>
    <t>Mūziķu grupa, deju grupa /koncertprogramma</t>
  </si>
  <si>
    <t>DJ / 10.00-19.00</t>
  </si>
  <si>
    <t>DJ / 19.00-04.00</t>
  </si>
  <si>
    <t>Programmu vadītājs/10.00-19.00</t>
  </si>
  <si>
    <t>Programmu vadītājs /10.00-19.00 (gājiens, 2.skatuve)</t>
  </si>
  <si>
    <t>Programmu vadītājs/19.00-02.00-</t>
  </si>
  <si>
    <t>Programmas vadītājs/19.00-02.00</t>
  </si>
  <si>
    <t xml:space="preserve">Skatuves laukuma, gājiena, teritoriju norišu administrators , organizators </t>
  </si>
  <si>
    <t>Aizskatuves administratori aizskatuve 2 personas 20h</t>
  </si>
  <si>
    <t>Aizskatuves darbības un visu svētku teritorijas norišu nodrošinātāji 20 personas</t>
  </si>
  <si>
    <t>Nodrošina ĀKC un brīvprātījgie</t>
  </si>
  <si>
    <t>NBS orķestris</t>
  </si>
  <si>
    <t>Velo šovs</t>
  </si>
  <si>
    <t>Sporta sacensību organizēšana zolītes turnīrs</t>
  </si>
  <si>
    <t>Latvijas ZuMBA Fitness maratona nodrošināšana</t>
  </si>
  <si>
    <t>Burbuļu šovs bērnu programmā</t>
  </si>
  <si>
    <t>BUNGU SAMITS 50 bungu seti /dalībnieki, grupa, programma</t>
  </si>
  <si>
    <t>TEHNISKAIS NODROŠINĀJUMS</t>
  </si>
  <si>
    <t>ŪDENS GAISMU VIDEOPROJEKCIJU LĀZERU ŠOVS uz Vējupes</t>
  </si>
  <si>
    <t>Ūdens- gaismu šova videomateriāla filmēšana, montāža, mūzikas atlase, miksēšana</t>
  </si>
  <si>
    <t>Pilns tehniskais nodrošinājums Centrālā, divi atsevišķi skaņu komplekti (skatuves, skaņas, gaismu iekārtas, konstrukcijas, transports, tehniskais personāls 30 ) +tilta gaismu un dambja izgaismojuma sistēma, fermu konstrukcija ieejai svētku teritorijā, lāzeri apļos (uzbūve, apkalpošana, demontāža, uzraudzība, transports)</t>
  </si>
  <si>
    <t>Tehnikas izmaksas ir atkarīgas no māksliniecieskās programmas un mūziķu grupu raideriem</t>
  </si>
  <si>
    <t>2 LED diožu videoekrāni, 2 robotkameras, tehniskās  apkalpošanas nodrošināšana personāls 3 operatori, tehniskais direktors/režisors, asistents, PTS (pārvietojamā televīzijas stacija),  videotranslācijai 3 operatori, režisors, interneta tiešraide, ieraksta pēcapstrāde/ nodošana, komutāciju sistēmas, uzraidzība, transports</t>
  </si>
  <si>
    <t>UGUŅOŠANA Gaismu šova noslēgumā</t>
  </si>
  <si>
    <t>Skatuves specefektu CO2 aprīkojuma nodrošināšana</t>
  </si>
  <si>
    <t xml:space="preserve">Svētku filmēšana /palīgs </t>
  </si>
  <si>
    <t>Svētku norises korespodenti /foto video Māris Vītols, Laima Jātniece</t>
  </si>
  <si>
    <t>Rāciju noma</t>
  </si>
  <si>
    <t>Ģeneratoru noma</t>
  </si>
  <si>
    <t>Dīzeļdegviela ģeneratoru darbībai</t>
  </si>
  <si>
    <t>Ģeneratoru apkalpošana</t>
  </si>
  <si>
    <t xml:space="preserve">Elektroenerģijas pieslēgumu un mobilo žogu aprīkojumu noma </t>
  </si>
  <si>
    <t>Elktroenerģijas apkalpošana, uzraudzība</t>
  </si>
  <si>
    <t>Svētku teritorijas labiekārtošana, norobežojumi</t>
  </si>
  <si>
    <t xml:space="preserve">Nodrošina pašvaldības struktūrvienības </t>
  </si>
  <si>
    <t xml:space="preserve">Svētku teritorijas uzkopšana, uzraudzība, konteineru noma </t>
  </si>
  <si>
    <t>Pārvietojamo tualetešu 40 gb.noma un 
apkalpošana</t>
  </si>
  <si>
    <t xml:space="preserve">Teritorijas labiekārtošana un uzkopšana </t>
  </si>
  <si>
    <t>Aizskatuves zonas uzbūve / TELTIS, aprīkojuma noma</t>
  </si>
  <si>
    <t>Daļēji apmaksā sponsors</t>
  </si>
  <si>
    <t>Paklāju noma aizskatuves  nodrošināšanai</t>
  </si>
  <si>
    <t>Informācijas telts un aprīkojums</t>
  </si>
  <si>
    <t>Nodrosīna brīvprātīgie</t>
  </si>
  <si>
    <t xml:space="preserve">Pasākuma fiziskā apsardze  </t>
  </si>
  <si>
    <t>Neatliekamās medicīniskās palīdzības ekipāža</t>
  </si>
  <si>
    <t>Bungu SAMITS 50 bungu komplektu pārvadājumi</t>
  </si>
  <si>
    <t>Sabiedriskais transports apbraucamā ceļa posms, nobrauktie papildus kilometri 01.06.6:00-02.06 6:00</t>
  </si>
  <si>
    <t>CITI IZDEVUMI</t>
  </si>
  <si>
    <t>Pasākuma organizēšana, dienas un vakara programmu scenārijs, administrēšana 
publicitāte , visu reklāmas materiālu sagatavošana, izvietošana, video, audio materiālu sagatavošana, visas svētku norises realizācija</t>
  </si>
  <si>
    <t>REKLĀMA</t>
  </si>
  <si>
    <t>Visu reklāmas materiālu vides objekta banera maketēšana</t>
  </si>
  <si>
    <t>Ieelūgumi (Domes aicinātajiem viesiem)druka</t>
  </si>
  <si>
    <t>Reklāmas materiālu druka plakāti 200gb. flaieri A5 1000gb.</t>
  </si>
  <si>
    <t>Programmu A5(1500gb.) druka</t>
  </si>
  <si>
    <t>Baneris Baltezers (13.05.-02.06.)</t>
  </si>
  <si>
    <t>Reklāmas stabs 1gb. (programma)</t>
  </si>
  <si>
    <t>Plakātu 3x2 2gb., fotosiena druka</t>
  </si>
  <si>
    <t>LTV1 reklāma</t>
  </si>
  <si>
    <t>TV reklāmas videomateriāla , dažādu parametru videorekl. izgatavošana</t>
  </si>
  <si>
    <t>VISUAL MEDIA videoreklāmas translēšana āra ekrānos Rīgā Spice, Spice home</t>
  </si>
  <si>
    <t>Daļēji nodrošina sadarbības partneri</t>
  </si>
  <si>
    <t>ACM videoreklāmas translēšana ekrānos Rīgā ( Lāčplēša, Deglava, Tilta)</t>
  </si>
  <si>
    <t>Reklāma starppilsētu autobusos</t>
  </si>
  <si>
    <t>Sadarbības partneri</t>
  </si>
  <si>
    <t>Radio STAR FM reklāma</t>
  </si>
  <si>
    <t>Radio Skonto</t>
  </si>
  <si>
    <t>Latvijas Radio 2</t>
  </si>
  <si>
    <t>Audioreklāmas ieraksts, materiāla sagatavošana</t>
  </si>
  <si>
    <t>Sociālie tīkli, mediju vide</t>
  </si>
  <si>
    <t>auduma aproces 500gb</t>
  </si>
  <si>
    <t>Norobežojošā lenta ar apdruku 24 ruļļi</t>
  </si>
  <si>
    <t>Viesu, mākslinieku (aizskatuves) ēdināšanas pakalpojumi apt. 500 personas</t>
  </si>
  <si>
    <t>Kafija, tēja aizskatuve</t>
  </si>
  <si>
    <t>Cienasts un ēdināšanas pakalpojumi aizskatuves dalībniekiem ( kopā 900 personas)</t>
  </si>
  <si>
    <t>Ūdens</t>
  </si>
  <si>
    <t>Ūdens un pepsi (divas paletes 1500gb.)</t>
  </si>
  <si>
    <t>Personāla ēdināšana 150 pers.(brīvprātīgie, zemessargi, valsts policijas darbinieki, saimniecības darbinieki )</t>
  </si>
  <si>
    <t>Latvijas KABRIO KLUBA svētku dalībnieku  ēdināšana 250 pers.</t>
  </si>
  <si>
    <t>Autortiesību nomaksa AKKA/LA un LaiPA</t>
  </si>
  <si>
    <t>Reprezentācijas materiāli/ lakatiņi 200gb.(materiāls + izgatavošana) EUR 4 par vienību</t>
  </si>
  <si>
    <t>Skūteru noma 4 gb.</t>
  </si>
  <si>
    <t>Ātra pārvietošanās lielā svētku teritorijā organizatorisku jautājumu risināšani</t>
  </si>
  <si>
    <t>Sporta un aktīvās atpūtas zonas nodrošinājums</t>
  </si>
  <si>
    <t>Nodrošina Sporta daļa</t>
  </si>
  <si>
    <t>Tehnikas izstādes nodrošinājums</t>
  </si>
  <si>
    <t>Uzņēmumu prezentāciju nodrošināšana</t>
  </si>
  <si>
    <t>NBS militārās tehnikas un ekipējuma izstādes</t>
  </si>
  <si>
    <t>A,B,B1, C 200 tirdzniecības vietu sagatavošana</t>
  </si>
  <si>
    <t>Amatnieku tirgus organizēšana, prezentāciju vietu, ēdināšanas zonas u.c. administrēšana</t>
  </si>
  <si>
    <t xml:space="preserve">Finansējums plānots Kultūras centra budžetā   </t>
  </si>
  <si>
    <t>EKK 2233</t>
  </si>
  <si>
    <t>EKK 2239</t>
  </si>
  <si>
    <t>EKK 2264</t>
  </si>
  <si>
    <t>EKK 2390</t>
  </si>
  <si>
    <t>EKK 1150</t>
  </si>
  <si>
    <t>ieņēmumi</t>
  </si>
  <si>
    <t>Spornsoru, uzņēmumu, brīvprātogo darba piesaiste</t>
  </si>
  <si>
    <r>
      <t xml:space="preserve">Budzēta ieņēmumi EUR 28 360 +PVN </t>
    </r>
    <r>
      <rPr>
        <b/>
        <sz val="11"/>
        <rFont val="Calibri"/>
        <family val="2"/>
        <scheme val="minor"/>
      </rPr>
      <t>EUR 34 316</t>
    </r>
    <r>
      <rPr>
        <sz val="11"/>
        <rFont val="Calibri"/>
        <family val="2"/>
        <charset val="186"/>
        <scheme val="minor"/>
      </rPr>
      <t xml:space="preserve"> no ēdināšanas zonu (A,B) izsoles UN 200 tirdzniecības vietām, atbilstoši ĀND saistošajiem noteikumiem</t>
    </r>
  </si>
  <si>
    <t xml:space="preserve">Ieņēmumi par elektroenerģijas patēriņu </t>
  </si>
  <si>
    <r>
      <t xml:space="preserve">Sponsoru atbalsts  </t>
    </r>
    <r>
      <rPr>
        <b/>
        <sz val="11"/>
        <color theme="1"/>
        <rFont val="Calibri"/>
        <family val="2"/>
        <scheme val="minor"/>
      </rPr>
      <t>EUR 5795, preces un pakalpojumi</t>
    </r>
  </si>
  <si>
    <t xml:space="preserve">Sagatavoja L.TIĻUGA </t>
  </si>
  <si>
    <t>tālr.29456335</t>
  </si>
  <si>
    <t>linda@adazikultura.lv</t>
  </si>
  <si>
    <t>Tradicionālo gadskārtu un valsts svētku pasākumu organizēšanas izdevumi (Lieldienas, Saulgrieži, 4.maijs, 18.novembris, Ziemassvētki)</t>
  </si>
  <si>
    <t>O.Vācieša literārā prēmija dzejā:</t>
  </si>
  <si>
    <t>Muzikālie vasaras pikniki</t>
  </si>
  <si>
    <t xml:space="preserve">Kino seansi </t>
  </si>
  <si>
    <t>Tautas deju festivāls "Jādejo, lai būtu prieks"</t>
  </si>
  <si>
    <t>Folkloras kopas "Cēlāji" 10 gadu jubileja</t>
  </si>
  <si>
    <t>Deju izrāde "Sūnu ciema zēni"</t>
  </si>
  <si>
    <t>Koru kari</t>
  </si>
  <si>
    <t>Skatuves priekškara nomaiņa -esošais priekškara sistēma ir salūzusi, kā arī izdilis audums. Esošais priekškars nav ugunšdrošs</t>
  </si>
  <si>
    <t>Sporta pasākumi 2023</t>
  </si>
  <si>
    <t xml:space="preserve">Pārējei Carnikavas izdevumi </t>
  </si>
  <si>
    <t>Apraksts (ja ir līgums, minēt līguma nr.)</t>
  </si>
  <si>
    <t xml:space="preserve"> (web kameras noma)</t>
  </si>
  <si>
    <t xml:space="preserve"> (Trenažieru zālesapkope, inventārs)</t>
  </si>
  <si>
    <t>Rožu ielas ūdens</t>
  </si>
  <si>
    <t xml:space="preserve"> (Pludmales volejbola laukuma apkope, hokeja bortu remonts)</t>
  </si>
  <si>
    <t>Sintētiskā futbola laukuma noma - granulas (līguma nr. 2019/ 070)</t>
  </si>
  <si>
    <t>Kadagas "Ģimenes dienas"</t>
  </si>
  <si>
    <t>Kadaga</t>
  </si>
  <si>
    <t>Ādažu BMX kauss/LČ kausa posms</t>
  </si>
  <si>
    <t>Veselības skrējiens (7 posmi)</t>
  </si>
  <si>
    <t>FLORBOLA BUDŽETS</t>
  </si>
  <si>
    <t>Skaits</t>
  </si>
  <si>
    <t>Preces / pakalpojuma apraksts, krāsa, modelis, izmērs, materiāls</t>
  </si>
  <si>
    <t xml:space="preserve">Cena </t>
  </si>
  <si>
    <t>Attēls</t>
  </si>
  <si>
    <t>Bortu komplekts</t>
  </si>
  <si>
    <r>
      <t xml:space="preserve">Izgatavoti no presēta polipropilēna paneļiem ar gumijas augšējo malu. </t>
    </r>
    <r>
      <rPr>
        <sz val="11"/>
        <color theme="1"/>
        <rFont val="Times New Roman"/>
        <family val="1"/>
      </rPr>
      <t>Apmaļu komplekts sastāv no trim segmentu veidiem: 2 m gari segmenti, 1 m garš segmenti un noapaļoti stūru segmenti. Atsevišķi apmales panelis sastāv no priekšējā trieciena vairoga, grīdas paneļa, augšējās margas, diviem sānu gabaliem un viena elastīga vada. Ražošanas tehnoloģija nodrošina ,ka produkts ir pietiekami elastīgs, izturīgs, ilgstoši lietojams. Laukuma izmēram 40 līdz 20 metru izmēra apmales tiek piedāvātas atsevišķos segmentos: 52 gab.pa 2 m., 4 gab. pa 1 m. un 4 gab. stūri un 2 uzglabāšanas ratiņi. Apmaļu krāsa melna.</t>
    </r>
  </si>
  <si>
    <t>Gerflor Taraflex grīdas segums</t>
  </si>
  <si>
    <t xml:space="preserve">Lietots segums ne vecāks par 10 gadiem. Eksperta apstiprināts slēdziens par grīdas ilgtermiņa izmantošanu. Grīdas segums atbilst starptautisko federāciju prasībām un ir atzīts par oficiālo laukumu šādos sporta veidos – Florbols, Volejbols, Handbols, Basketbols. </t>
  </si>
  <si>
    <t>Dalības maksa</t>
  </si>
  <si>
    <t>Dalības maksa Latvijas čempionātā florbolā vīriešu virslīgā 2023/2024. gada sezonai.</t>
  </si>
  <si>
    <t>Spēlētāja un apkalpojošā personāla licences</t>
  </si>
  <si>
    <t>Lai spēlētājs un apkalpojošais personāls varētu piedalīties Latvijas čempionātā florbolā vīriešu virslīgā 2023/2024. gada sezonā, viņš ir jālicencē atbilstoši Florbola federācijas noteikumiem par spēlētāju licencēšanos.</t>
  </si>
  <si>
    <t>Izbraukuma spēles Latvijas čempionātā florbolā vīriešu virslīgā 2023/2024. gada sezonai.</t>
  </si>
  <si>
    <t>DISKU GOLFA LAUKUMA IZVEIDOŠANA ZIBEŅOS</t>
  </si>
  <si>
    <t>Vienas</t>
  </si>
  <si>
    <t>Kopējā vērtība</t>
  </si>
  <si>
    <t>PRECES/PAKALPOJUMA NOSAUKUMS</t>
  </si>
  <si>
    <t>MĒRV.</t>
  </si>
  <si>
    <t>DAUDZUMS</t>
  </si>
  <si>
    <t>vienības cena</t>
  </si>
  <si>
    <t>bez PVN (EUR)</t>
  </si>
  <si>
    <t>Trases plānošana</t>
  </si>
  <si>
    <t>gab.</t>
  </si>
  <si>
    <t>Lielā informatīvā trases karte koka statīvā (rāmis 140x220</t>
  </si>
  <si>
    <t>cm, karte 75x120 cm)</t>
  </si>
  <si>
    <t>Trases kartes uzstādīšana</t>
  </si>
  <si>
    <t>Disku golfa grozs (kopējais augstums virs zemes 142 cm,</t>
  </si>
  <si>
    <t>groza diametrs 66 cm, augšējā vainaga diametrs 56 cm)</t>
  </si>
  <si>
    <t>Disku golfa groza uzstādīšana</t>
  </si>
  <si>
    <t>Disku golfa groza izmetiena karte ar uzstādīšanu (A4</t>
  </si>
  <si>
    <t>izmēra karte - 21x30 cm, koka stabs 120x10cm diametrā)</t>
  </si>
  <si>
    <t>Izmetiena vietas izbūve ar koka platformu un mākslīgā</t>
  </si>
  <si>
    <t>zālāja segumu (150x300 cm)</t>
  </si>
  <si>
    <t>Bultu norādes uz nākošajiem groziem ar uzstādīšanu</t>
  </si>
  <si>
    <t>(10x15 cm)</t>
  </si>
  <si>
    <t>OB koka mietiņi (sarkanā vai baltā krāsā) ar uzstādīšanu</t>
  </si>
  <si>
    <t>(40x3cm diametrā)</t>
  </si>
  <si>
    <t>Mando zīme ar uzstādīšanu (40x30cm)</t>
  </si>
  <si>
    <t>Starta komplekts 50 diski (15 puteri, 15 vidējās distances,</t>
  </si>
  <si>
    <t>20 tālās ditances driveri)</t>
  </si>
  <si>
    <t>Kopējā summa bez PVN (EUR)</t>
  </si>
  <si>
    <t>PVN 21% (EUR)</t>
  </si>
  <si>
    <t>Kopējā summa ar PVN (EUR)</t>
  </si>
  <si>
    <t>Saņemtais avanss EUR)</t>
  </si>
  <si>
    <t>Summa apmaksai (EUR)</t>
  </si>
  <si>
    <t>ĀRA TRENAŽERI/VINGROŠANAS ELEMENTI</t>
  </si>
  <si>
    <t>MK Dizains piedāvājums</t>
  </si>
  <si>
    <t>Merv</t>
  </si>
  <si>
    <t>apjoms</t>
  </si>
  <si>
    <t>CenaiekārtabezPVN(EUR)</t>
  </si>
  <si>
    <t>Cenamontāža/betonēšanabezPVN(EUR)</t>
  </si>
  <si>
    <t>summaiekārtabezPVN(EUR)</t>
  </si>
  <si>
    <t>summamontāža/betonēšanabezPVN(EUR)</t>
  </si>
  <si>
    <t>Summa kopā bez</t>
  </si>
  <si>
    <t>PVN (EUR)</t>
  </si>
  <si>
    <t>Kods</t>
  </si>
  <si>
    <t>Vizualizācija</t>
  </si>
  <si>
    <t>Līdztekas IV406</t>
  </si>
  <si>
    <t>gb</t>
  </si>
  <si>
    <t>Horizontālās trepes IV 411</t>
  </si>
  <si>
    <t>1 165.00</t>
  </si>
  <si>
    <t>Zviedru siena IV432</t>
  </si>
  <si>
    <t>Trīs līmeņu pievilkšanās stienis</t>
  </si>
  <si>
    <t>1 010.00</t>
  </si>
  <si>
    <t>IV421</t>
  </si>
  <si>
    <t>Vēderpreses soliņš IV 450</t>
  </si>
  <si>
    <t>Divkāršais atspiešnās stienis</t>
  </si>
  <si>
    <t>IV408</t>
  </si>
  <si>
    <t>4 065.00</t>
  </si>
  <si>
    <t>1 410.00</t>
  </si>
  <si>
    <t>5 475.00</t>
  </si>
  <si>
    <t>Cenā iekļauta iekārtas izgatavošana un montāža. Par saskaņojumiem,</t>
  </si>
  <si>
    <t>Transporta izdevumi</t>
  </si>
  <si>
    <t>pēcuzstādīšanas pārbaudi, segumu, izvietojumu atbild pasūtītājs.</t>
  </si>
  <si>
    <t>Kopā bez PVN 21%</t>
  </si>
  <si>
    <t>PVN21%</t>
  </si>
  <si>
    <t>KOPĀ APMAKSAI</t>
  </si>
  <si>
    <t>Āra trenažieru uzstādīšana pie Ādažu stadiona</t>
  </si>
  <si>
    <t>Konta atlikums 31.12.2022.</t>
  </si>
  <si>
    <t>Rotaļiekārtas maiņa pie Taurenīšiem, Lapsēniem, Skudriņām, Vāverēniem</t>
  </si>
  <si>
    <t>Skaņas tehnika aktu zālei</t>
  </si>
  <si>
    <r>
      <t>Pirmsskolas tradīcijas "Cauri gadskārtām" tālākai īstenošanai -Tautiskās vilnas zeķes 28 pāri EUR18.00x28=</t>
    </r>
    <r>
      <rPr>
        <b/>
        <i/>
        <sz val="8"/>
        <rFont val="Arial"/>
        <family val="2"/>
        <charset val="186"/>
      </rPr>
      <t>504.00 EUR</t>
    </r>
    <r>
      <rPr>
        <i/>
        <sz val="8"/>
        <rFont val="Arial"/>
        <family val="2"/>
        <charset val="186"/>
      </rPr>
      <t xml:space="preserve"> (cenu aptauja SIA Arnita)</t>
    </r>
  </si>
  <si>
    <r>
      <t>Pirmsskolas tradīcijas "Cauri gadskārtām" tālākai īstenošanai - Pastalas 28 pāri, EUR 17x34=</t>
    </r>
    <r>
      <rPr>
        <b/>
        <i/>
        <sz val="8"/>
        <rFont val="Arial"/>
        <family val="2"/>
        <charset val="186"/>
      </rPr>
      <t>578.00</t>
    </r>
    <r>
      <rPr>
        <i/>
        <sz val="8"/>
        <rFont val="Arial"/>
        <family val="2"/>
        <charset val="186"/>
      </rPr>
      <t xml:space="preserve"> EUR (cenu aptauja SIA Jette)</t>
    </r>
  </si>
  <si>
    <r>
      <t>Pirmsskolas tradīcijas "Cauri gadskārtām" tālākai īstenošanai -Tautas tērpi (14 zēniem un 14 meitenēm) EUR 84x28=</t>
    </r>
    <r>
      <rPr>
        <b/>
        <i/>
        <sz val="8"/>
        <rFont val="Arial"/>
        <family val="2"/>
        <charset val="186"/>
      </rPr>
      <t>EUR 2352</t>
    </r>
    <r>
      <rPr>
        <i/>
        <sz val="8"/>
        <rFont val="Arial"/>
        <family val="2"/>
        <charset val="186"/>
      </rPr>
      <t xml:space="preserve"> (cenu aptauja SIA Muduri)</t>
    </r>
  </si>
  <si>
    <r>
      <t>"Ligzda" divu rekuperācijas mazo sistēmu iegāde un uzstādīšana 2x480,00=</t>
    </r>
    <r>
      <rPr>
        <b/>
        <i/>
        <sz val="8"/>
        <rFont val="Arial"/>
        <family val="2"/>
        <charset val="186"/>
      </rPr>
      <t>EUR 960,00</t>
    </r>
    <r>
      <rPr>
        <i/>
        <sz val="8"/>
        <rFont val="Arial"/>
        <family val="2"/>
        <charset val="186"/>
      </rPr>
      <t xml:space="preserve"> Tirgus izpēti veica R. Kaufmanis </t>
    </r>
  </si>
  <si>
    <t>Udensvada un apkures sistēmas remontdarbi pagrabā</t>
  </si>
  <si>
    <t>Apkures sistēmas automatizācija (13 grupās. Zem grīdas ievados+BMS)</t>
  </si>
  <si>
    <t>Darbinieku autostāvvietas izveidošana un teritorijas sakārtošana</t>
  </si>
  <si>
    <t>ĀNKC XXVII Vispārējo latviešu Dziesmu un XVII Deju svētku budžeta tāmes projekts</t>
  </si>
  <si>
    <t>2023. 30.06-09.07.</t>
  </si>
  <si>
    <t>ĀDAŽU KULTŪRAS CENTRS -9 kolektīvi (225 dalībnieki, 17 kolektīvu vadītāji un speciālisti, 1 koordinators)</t>
  </si>
  <si>
    <t>CARNIKAVAS KULTŪRAS NAMS OZOLAINE- 7 kolektīvi (182 dalībnieki, 15 kolektīvu vadītāji un speciālisti, 1 koordinators)</t>
  </si>
  <si>
    <t>IZGLĪTĪBAS IESTĀŽU KOLEKTĪVI-</t>
  </si>
  <si>
    <t xml:space="preserve"> KC</t>
  </si>
  <si>
    <t xml:space="preserve">Naudas balvas veiksmīga projekta realizācijas gadījumā </t>
  </si>
  <si>
    <t>ĀDAŽI- koordinators (1) EUR 500
kolektīvu vadītāji (9) EUR 200
speciālisti (8) EUR 100</t>
  </si>
  <si>
    <t>CARNIKAVA- koordinators (1) EUR 500
kolektīvu vadītāji EUR 200
speciālisti EUR 100</t>
  </si>
  <si>
    <t>ĀDAŽU VIDUSSKOLA- koordinators (1) EUR 500
kolektīvu vadītāji (3) EUR 200
speciālisti (3) EUR 100</t>
  </si>
  <si>
    <t>Provizorisks aprēķins</t>
  </si>
  <si>
    <t>Transporta pakalpojumi ĀDAŽU kolektīvu dalībai Dziesmu un Deju svētkos</t>
  </si>
  <si>
    <t>ĀDAŽI- ĀKC 9 kolektīvi 
5 kolektīvi x 8 dienas
3 kolektīvi x 7 dienas
1 kolektīvs x 2 dienas 
Kopā 63 laika vienība x apt.EUR 450</t>
  </si>
  <si>
    <t>Transporta pakalpojumi CARNIKAVAS kolektīvu dalībai Dziesmu un Deju svētkos</t>
  </si>
  <si>
    <t>CARNIKAVA- 7 kolektīvi 
3 kolektīvi x 9 dienas
2 kolektīvi x 8 dienas
2 kolektīvs x 2 dienas 
Kopā 47 laika vienība x apt.EUR 450</t>
  </si>
  <si>
    <t>Transporta pakalpojumi ĀDAŽU VIDUSSKOLAS kolektīvu dalībai Dziesmu un Deju svētkos</t>
  </si>
  <si>
    <t>ĀDAŽU VIDUSSKOLA- 3 kolektīvi 
3 kolektīvi x 8 dienas
Kopā 24 laika vienība x apt.EUR 450</t>
  </si>
  <si>
    <t xml:space="preserve">Dalībnieku ēdināšanas izdevumi </t>
  </si>
  <si>
    <t xml:space="preserve">no valsts budžeta EUR 12,10 (iesk.PVN) par personu/ dienā  </t>
  </si>
  <si>
    <t xml:space="preserve">ĀDAŽU kolektīvu dalībnieku ēdināšanas izdevumi </t>
  </si>
  <si>
    <t>ĀDAŽI - 9 kolektīvi 10 EUR + PVN dienā= 12,10 EUR
117 dalībnieki  x 8 dienas x 12,10 EUR = 11325,6 EUR
111 dalībnieki x 7 dienas x 12,10 EUR  = 9401,7EUR
13 dalībnieki X 2 dienas x 12,10 EUR = 314,60 EUR"</t>
  </si>
  <si>
    <t xml:space="preserve">CARNIKAVAS  kolektīvu dalībnieku ēdināšanas izdevumi </t>
  </si>
  <si>
    <t>CARNIKAVA- 7 kolektīvi 10 EUR + PVN dienā= 12,10 EUR
83 dalībnieki +5 vadītāji x 9 dienas x 12,10 EUR = 9584 EUR
29 dalībnieki+2 vadītāji x 2 dienas x 12,10 EUR  = 750 EUR
70 dalībnieki + 3 vadītāji x 8 dienas x 12,10 EUR = 7067 EUR</t>
  </si>
  <si>
    <t xml:space="preserve">ĀDAŽU VIDUSSKOLAS kolektīvu dalībnieku ēdināšanas izdevumi </t>
  </si>
  <si>
    <t>ĀDAŽU VIDUSSKOLA - 3 kolektīvi 10 EUR + PVN dienā= 12,10 EUR
93 dalībnieki  x 8 dienas x 12,10 EUR =  EUR</t>
  </si>
  <si>
    <t xml:space="preserve">no pašvaldības budžeta EUR 12,10 (iesk.PVN) par personu/ dienā  </t>
  </si>
  <si>
    <t>Tehnisko darbinieku un koordinatoru ēdināšanas izdevumi ĀDAŽI</t>
  </si>
  <si>
    <t>ĀDAŽI 
EUR 12,10 par personu/ dienā
10 tehniskie darbinieki x 9 dienas x 12,10 EUR</t>
  </si>
  <si>
    <t>Tehnisko darbinieku un koordinatoru ēdināšanas izdevumi CARNIKAVA</t>
  </si>
  <si>
    <t>CARNIKAVA                                                                                                               
EUR 12,10 par personu/ dienā
7 tehniskie darbinieki x 9 dienas x 12,10 EUR</t>
  </si>
  <si>
    <t>Tehnisko darbinieku un koordinatoru ēdināšanas izdevumi ĀDAŽU VIDUSSKOLA</t>
  </si>
  <si>
    <t>ĀDAŽU VIDUSSKOLA                                                                                                          EUR 12,10 par personu/ dienā
4 tehniskie darbinieki x 9 dienas x 12,10 EUR</t>
  </si>
  <si>
    <t xml:space="preserve">Metodiskie materiāli </t>
  </si>
  <si>
    <t>Metodiskie materiāli svētku repertuāra sagatavošanai, repertuāra grāmatas (350 gab.) nošu grāmatas vadītājiem</t>
  </si>
  <si>
    <t xml:space="preserve">Tērpi Dziesmu svētku kolektīviem ĀDAŽI </t>
  </si>
  <si>
    <t>SDK SPRIGULIS Priekules jakas 12gab.</t>
  </si>
  <si>
    <t xml:space="preserve">Vienīgie no Ādažu  kolektīviem -SDK SPRIGULIS ir izvēlēti dalībai noslēguma koncertā KOPĀ AUGŠUP Mežaparka estrādē. 
Nepieciešams pilns tērpu komplekts (ĀKC bāzē ir svērki, vestes, nepieciešamas tikai jakas) </t>
  </si>
  <si>
    <t xml:space="preserve">SDK DĒKA esošo tērpu papildinājums- Vīriešu vilnas bikses (4gab.), vīriešu mēteļi (4 gab.), vītriešu zābaki (2 pāŗi) </t>
  </si>
  <si>
    <t>Lai visiem kolektīvu dalībniekiem būtu nepieciešamie tērpi. 
Atsevišķu tērpu izgatavošana</t>
  </si>
  <si>
    <t xml:space="preserve">VPDK SPRIGULĪTIS Abrenes tērpu aksesuāri galvas auti (10gab.), pārpieri ( 10gab.) </t>
  </si>
  <si>
    <t>Esošo tērpu papildinājums</t>
  </si>
  <si>
    <t>Tērpi Dziesmu svētku kolektīviem CARNIKAVA</t>
  </si>
  <si>
    <t>JDK Abi divi</t>
  </si>
  <si>
    <t>16 gab puišu bikses, 12 gan meitu Vidzemes jakas, 12 gab meitu uzkrekli zem jakām,  12 gab puišu deju kurpes, 12 gab meitu deju kurpes</t>
  </si>
  <si>
    <t>SDK Tacis</t>
  </si>
  <si>
    <t>Esošo tērpu papildinājums - 8 gab vīru mēteļi, 12 gab sieviešu jakas, 8 gab aubes, 8 gab vīriešu bikses</t>
  </si>
  <si>
    <t>Jauktais koris Vēja balss</t>
  </si>
  <si>
    <t xml:space="preserve">Jaunajiem dziedātājiem trūkst tērpi, līdz ar to nepieciešams esošo tērpu papildinājums 7 sieviešu tērpi (brunči, mētelis) un 4 vīriešu tērpi (bikses, mētelis) </t>
  </si>
  <si>
    <t xml:space="preserve">Novada delegācijas noformējums, karogi u.c. </t>
  </si>
  <si>
    <t>Nosūtu Dziesmu un deju svētku bāzes izdevumu tāmi. Lūdzu veidot atsevišķu uzskaites dimensijas kodu- 0841.4. </t>
  </si>
  <si>
    <t>Par svētku izdevumiem valstī daudz neskaidrību, tāpēc būs iespējami precizējumi.</t>
  </si>
  <si>
    <t>0841.4 - Dziesmu svētki 2023</t>
  </si>
  <si>
    <t>0841.4</t>
  </si>
  <si>
    <t xml:space="preserve"> SVĒTKU NOFORMĒJUMI</t>
  </si>
  <si>
    <t>plānot 2023. gadā</t>
  </si>
  <si>
    <t>1.1. punkts</t>
  </si>
  <si>
    <t>vienības izmaksas</t>
  </si>
  <si>
    <t>Lieldienas</t>
  </si>
  <si>
    <t>jauni dekori Līgo laukuma vides dekoram - 24 oliņas H375 mm, vieenas izmaksas 62 EUR</t>
  </si>
  <si>
    <t>Maija svētki</t>
  </si>
  <si>
    <t>2 jauni karogu statīvi analogi esošajiem</t>
  </si>
  <si>
    <t>Gaujas svētki</t>
  </si>
  <si>
    <t xml:space="preserve">Jaunā novada  svētku karoglentu izgatavošana - Ādažu pagasts - 90 gab, Carnikavas pagasts -70 </t>
  </si>
  <si>
    <t>karogu eksponēšana - 160 gab (23,35  uz 1 karogu)</t>
  </si>
  <si>
    <t>Jāņi</t>
  </si>
  <si>
    <t>jauni dekori Līgo laukuma vides objektam</t>
  </si>
  <si>
    <t>Pirmais septembris</t>
  </si>
  <si>
    <t>dekoru noma, fotostūris</t>
  </si>
  <si>
    <t>Valsts svētki</t>
  </si>
  <si>
    <t>LV karogi  - noma 16,82 uz 1 karogu ( kopā 90 karogi) Ādažu pagastā 70 karogi Carnikavas pagastā</t>
  </si>
  <si>
    <t>Carnikavai mazo LV  karoglentu izgatavošana 70x140   Kopā 45 gab</t>
  </si>
  <si>
    <t xml:space="preserve">karogu eksponēšana </t>
  </si>
  <si>
    <t>eksponēšana - 160 gab ( 23,35 uz 1 karogu)</t>
  </si>
  <si>
    <t>dekori Līgo laukuma vides objektā</t>
  </si>
  <si>
    <t>vides objekta papildināšana ar valsts svētku simboliku un gaismām</t>
  </si>
  <si>
    <t>Ziemassvētki, Jaunais gads</t>
  </si>
  <si>
    <t>Ietver: Ziemassvētku egles ciemos, 2X150.00 EUR</t>
  </si>
  <si>
    <t>Alderi, Baltezers</t>
  </si>
  <si>
    <t>dekoru eksponēšana un noma</t>
  </si>
  <si>
    <t>Līgo laukuma un vides elementa noformēšana ar  gaismas dekoriem un eksponēšana</t>
  </si>
  <si>
    <t>Lielās egles eksponēšanas sistēmas  dekoru noma un eksponēšana</t>
  </si>
  <si>
    <t>Carnikavas egles dekoru noma un eksponēšana</t>
  </si>
  <si>
    <t>tirdzniecības stendu noformēšana</t>
  </si>
  <si>
    <t>dekoru eskponēšana un noma apļos</t>
  </si>
  <si>
    <t>Gaismas dekoru noma un eksponēšana rotācijas apļiem - Rīgas -Gaujas ; Gaujas - Pirmā; Gaujas - Attekas; Kadagas</t>
  </si>
  <si>
    <t>Adventes vainags Carnikavā</t>
  </si>
  <si>
    <t>ielu dekori Ādažu pagastā</t>
  </si>
  <si>
    <t>elektrības nodrošinājums</t>
  </si>
  <si>
    <t>sakārtot pieslēgumu uz Baltezera tilta</t>
  </si>
  <si>
    <t xml:space="preserve">esošo dekoru remonts, atjaunošana </t>
  </si>
  <si>
    <t>Gaismas lāzer projekcijas uz jaunās sākumskolas sienām (6000 vērtībā)</t>
  </si>
  <si>
    <t>Uzņēmējdarbības veicināšanas programmas izveide 2023.gadā (4000 eiro) un pārejošie maksājumi no 2022.gada līgumiem (1167 eiro)</t>
  </si>
  <si>
    <t xml:space="preserve">ES Padomes projekts LIFE COHABIT </t>
  </si>
  <si>
    <t>Sienu remonts administratīvajam korpusam, kāpņutelpām 2.stāvā A korpuss</t>
  </si>
  <si>
    <t>Kanalizācijas un ūdensistēmas nomaiņa, remonts (A korpuss)</t>
  </si>
  <si>
    <t>Deju kolektīviem Dziesmu un deju svētkiem:</t>
  </si>
  <si>
    <t>Tautiskās vilnas zeķes (tautas tērpa detaļa)</t>
  </si>
  <si>
    <t>Deju svētku jakas  (meitenēm un puišiem)(tautas tērpa detaļa)</t>
  </si>
  <si>
    <t>Deju kupes  (meitenēm un puišiem)(tautas tērpa detaļa)</t>
  </si>
  <si>
    <t>Akustiskā skanda/skaļrunis (skolas pasākuma organizēšanai)</t>
  </si>
  <si>
    <t>Deju svētku krekliņi (meitenēm un puišiem)(koptēla veidošana deju-dziesmu svētkiem)</t>
  </si>
  <si>
    <t>IZM piegādāto ChromeBook (IZM projekts datori 7-9 kl. skolēniem) uzglabāšanas, uzlādes skapji 5 gb. (32 datori vienā skapī)</t>
  </si>
  <si>
    <t xml:space="preserve">Interaktīvie ekrāni 75"  </t>
  </si>
  <si>
    <t>Kopā 2029. gadā</t>
  </si>
  <si>
    <t>No 2030. - 2051.</t>
  </si>
  <si>
    <t>Kopsumma no 2023. - 2051.</t>
  </si>
  <si>
    <t>Pamatsumma un % kopā:</t>
  </si>
  <si>
    <t>% likme</t>
  </si>
  <si>
    <t>Summa no 2023.gada plāns EUR</t>
  </si>
  <si>
    <t>Ādaži, Gaujas iela 33A Lielā aktu zāle datu pārraides tīkla severu skapja un tīkla vadu ierīkošanai (~ EUR 8000), optikas savienojumi zālē un uz galveno serveru telpu.</t>
  </si>
  <si>
    <t>DZIESMU SVĒTKI 2023</t>
  </si>
  <si>
    <t>Stadiona rekonstrukcija</t>
  </si>
  <si>
    <t>Projekts ERASMUS+</t>
  </si>
  <si>
    <t>Projekts ERASMUS</t>
  </si>
  <si>
    <t>0630 AID</t>
  </si>
  <si>
    <t>Iepirkums  Ādažu novada teritorijas plānojuma ainavu plānam</t>
  </si>
  <si>
    <t>Iepirkums  Ādažu novada teritorijas plānojuma transporta  plānam (iepirkums 2023.gadā)</t>
  </si>
  <si>
    <t>Skolēnu apbalvošana par augstiem mācību sasniegumiem (apbalvošanas pasākums)
Tāme Nr.14</t>
  </si>
  <si>
    <t>0941 - Ādažu Pirmsskolas privātās izglītibas iestādes</t>
  </si>
  <si>
    <t>0942 - Ādažu Pirmsskolas privātās izglītibas iestādes</t>
  </si>
  <si>
    <t>0943 - Ādažu Pirmsskolas privātās izglītibas iestādes</t>
  </si>
  <si>
    <t xml:space="preserve">0981 - Ādažu vidusskolas sākumskola                                                                                                                                                      </t>
  </si>
  <si>
    <t>2022.gadā iedzīvotāju līdzfinansējums ceļa rekonstrukcijai</t>
  </si>
  <si>
    <t>4.3.</t>
  </si>
  <si>
    <t>4.4.</t>
  </si>
  <si>
    <t>4.5.</t>
  </si>
  <si>
    <t>4.6.</t>
  </si>
  <si>
    <t>4.7.</t>
  </si>
  <si>
    <t>4.8.</t>
  </si>
  <si>
    <t>7.2.1.</t>
  </si>
  <si>
    <t>7.2.2.</t>
  </si>
  <si>
    <t>7.10.</t>
  </si>
  <si>
    <t>7.11.</t>
  </si>
  <si>
    <t>7.12.</t>
  </si>
  <si>
    <t>7.13.</t>
  </si>
  <si>
    <t>7.16.</t>
  </si>
  <si>
    <t>10% palielinājums</t>
  </si>
  <si>
    <t>Procentu likmju pieaugums un parāda portfeļa palielinājums. Dati no VK prognozēm.</t>
  </si>
  <si>
    <t>Apstādījumu uzturēšana Ādažu teritorijā</t>
  </si>
  <si>
    <t>Dārznieka pakalpojumi, apstādījumu uzturēšana, vasaras puku kompozīcijas podos, jaunstādīto koku kopšana</t>
  </si>
  <si>
    <t>saskanā ar tehnisko specifikāciju</t>
  </si>
  <si>
    <t>Jaunu koku stādīšana</t>
  </si>
  <si>
    <t xml:space="preserve"> 20 koki</t>
  </si>
  <si>
    <t>Jaunu stādījumu izveide</t>
  </si>
  <si>
    <t>Dailu skvērā 90 m2 ( summa iekļauta kopējā darznieka pakalpojumā)</t>
  </si>
  <si>
    <t>Papildināts 20.11.2022.</t>
  </si>
  <si>
    <t>PRIEKŠLIKUMI INVETSĪCIJĀM</t>
  </si>
  <si>
    <t>PII projektēšana Podniekos</t>
  </si>
  <si>
    <t>Pastaigu taka gar Baltezera kanālu</t>
  </si>
  <si>
    <t>Gājēju celiņš ar grants segumu gar kanālu, vietām koka laipas segums, kur pie paša kanāla ( kopējā summa ~120000,00, paredzēt līdzfinansējumu ELFLA projektam ~ 10000,00 un 60000,00 pašvaldības daļas realizēšanai no slūžām līdz podnieku tiltam līdz 2025 gadam)</t>
  </si>
  <si>
    <t>Ārtelpas pumpji velobraucējiem</t>
  </si>
  <si>
    <t xml:space="preserve">Jaunu velopumpju iegāde esošajās veloapkopes vietās ( 3 gab - Gaujas-Attekas aplis, pir Gaujas tilta, Alderos) - 1500,00 . Jauna veloapkopes stenda izveide Baltezera ciemā - 2200,00 </t>
  </si>
  <si>
    <t xml:space="preserve">esošajos mobilitātes punktos velopumpji nedarbojas, 2 vispār noņemti, nav atjaunojami. No iedzīvotāju puses ir prasīts, ka ļoti nepieciešami. 3 pumpji būtu novietojami jau esošajās sagatavotajās vietās.  Otrs - izveidot jaunu veloapkopes stendu - piemeram pie Vanaga ligzdas. Lilastes projektā tāds arī tiks ierīkots. </t>
  </si>
  <si>
    <t>papildināts 20.11.2022.</t>
  </si>
  <si>
    <t>Atpūtas un aktivitāšu zonu projektu izstrāde</t>
  </si>
  <si>
    <t>jaunu teritoriju labiekārtojumu projektu izsstrāde</t>
  </si>
  <si>
    <t>Vējupei pieguļosās pašvaldības teritorijas sakopšana, labiekārtošana un jaunas infrastruktūras izveide vides pieejamības nodrošināšanai.   ( ~25 ha)</t>
  </si>
  <si>
    <t>Iespējami 3 varianti darbībām":</t>
  </si>
  <si>
    <t>1) koncepcijas izstrāde, detalizēta, ar izrunātiem risinājumiem ar pasūtītāju, iekļaujot sabiedriskās apspriešanas, iedzīvotāju viedokļu un ideju uzklausīšanu</t>
  </si>
  <si>
    <t>grūti izmērīt laika nogrieznī, ja iesaista iedzīvotājus</t>
  </si>
  <si>
    <t xml:space="preserve">Projekta, meta vai konepcijā paredzamie elementi:     </t>
  </si>
  <si>
    <t>2) metu konkurss, bet tad jāuzmēra iztrūkstošie fragmenti topogrāfijā (balvu fonds 10 000 plus klāt topogrāfijas izdevumi)</t>
  </si>
  <si>
    <t>10000 (5000+3000+2000 balvu fonds)</t>
  </si>
  <si>
    <t>idejiski skaidrs formāts, definējams laiks</t>
  </si>
  <si>
    <t xml:space="preserve">Visapkār Vējupei gājēju pastaigu taka, ceļš - gan pa sausszemi, gan gar ūdeni, gan ūdenī; Labiekārtota pludmale ar visiem pludmalei nepieciešamajiem aprīkojuma elementiem; Piedāvāt atpūtas vietas pieguļošajā teritorijā - klusā atpūta ar soliņiem, sauļošanās soliem, āra trenažieriem, atkritumu urnām, elementiem bērnu aktivitātēm, skatu platformām u.c.; Piedāvāt laivu, supu ielaišanas vietas; </t>
  </si>
  <si>
    <t>3) pēc meta  pilna būvprojekta izstrāde, sadalīta vairākās realizācija kārtās. Jāatceras, ka mets ir tikai iedejas, nav detalizētu tehnisku risinājumu. Ja metu konkursā būtu iegūts viens ideālais meta variants, kur visi parādītie objekti realizējami , kā iecerēts, tad var aprakstīt katru objektu pa vienam un realizēt pa vienam objektam arī bez kopēja būvprojekta.</t>
  </si>
  <si>
    <t>50000-70000</t>
  </si>
  <si>
    <t>cena pecizētos pec tā, kas izstrādāts metā</t>
  </si>
  <si>
    <t>visvērtīgākais gala produkts, ko realizējot pa kārtām iegūst pilnu vēlamo ainu</t>
  </si>
  <si>
    <t>Piedāvāt laivu, supu ielaišanas vietas; Apgaismojuma piedāvājums, esošāo gaismas ķermeņu maiņa gar Attekas ielas gājēju celiņu, noteikti atsevišķa izbūves kārta; Savienojumi ar pieguļošajām teritorijām un ielām; Apstādījumi, kā esošās dabīgās vides papildinājumi; Piedāvāt vietas publiski pieejamām laipām ūdenī, kur iespējams iet peldēties;  Paredzēt vietas vides objektiem - dekoriem;  Piedāvāt ūdens objektus - strūklakas u.c. Kā variants - ūdens strūklaku sistēma, kas var darboties kā šovprogramma;  Piedāvāt ūdens objektus - strūklakas u.c. Kā variants - ūdens strūklaku sistēma, kas var darboties kā šovprogramma;</t>
  </si>
  <si>
    <t>Jauniešu aktīvās atpūtas/sporta zona</t>
  </si>
  <si>
    <t>saskaņā ar publiskās ārtelpas koncepciju</t>
  </si>
  <si>
    <t>Rotaļu un aktīvās atpūtas laukums Dailu skvērā</t>
  </si>
  <si>
    <t>Izveidotajā un pašvadībai nodotajā skvērā sākt veidot aktivitāšu laukumu. Sākt ar jauniešu zonu - vingrošanas iekārtas un trenažieri</t>
  </si>
  <si>
    <t>Ir vieta  dažādu vecumu bērniem, ar aktivitāšu elementiem, kur bērniem iespējas aktīvi darboties, sākumam jauniešu zona, pēc  tam pretī bērnu zona attīstāma</t>
  </si>
  <si>
    <t>gumijas mulčas segums zem sporta iekārtām, 200 m2 platībā</t>
  </si>
  <si>
    <t>Bērnu rotaļu laukums Carnikavā</t>
  </si>
  <si>
    <t>? Skeitparka pie Ziedlejām? Aizstāt ar kādu rotaļu laukumu</t>
  </si>
  <si>
    <t>Kur ir kāda aktuālāka vieta?</t>
  </si>
  <si>
    <t>Attīstāmas jaunas un revitalizējamas publiskās ārtelpas teritorijas</t>
  </si>
  <si>
    <t>Vides pieejamība Lilastē uz nomas teritoriju</t>
  </si>
  <si>
    <t>Izbūvēt celiņu, lai nokļutu uz bunkura augšas terasi un nodrošinātu pieejamību invalīdiem. Vai paredzēt pacelāja platformu gar esošajiem pakāpieniem</t>
  </si>
  <si>
    <t>??  Vai tešām tas ir jādara pašvaldībai? Tā tomēr ir pieeja uzņēmejam objektam</t>
  </si>
  <si>
    <t>Promenāde gar Vējupi - koka laipa - taka</t>
  </si>
  <si>
    <t>turpinājums līdz pašvaldības īpašumam - 200 m līdz Stirana zemei  - koka laipa x  150 eur t.m.( pēc piemēra Krastupes terase</t>
  </si>
  <si>
    <t>2017  izveidoti 180 m (līdz pašvaldības zemes gabalam lai aizietu pa krastmalu vēlams ap 500 m vēl) 2022  uzlikt 200 m līdz Stirāna gabalam</t>
  </si>
  <si>
    <t>Mikro mobilitātes punkti Ādažu novadā</t>
  </si>
  <si>
    <t>Radīt jaunu pakalpojumu - iespēju nomāt mikromobilitātes elementus novada teritorijā - elektriskos skuterus - piesaistot ārpakalpojumu sniedzēju. Sagatavot TS pašvaldības iepirkumam.</t>
  </si>
  <si>
    <t>Šis varētu būt āpakalpojums, ko pašvaldība dod iespēju attīstīt uzņēmējiem</t>
  </si>
  <si>
    <t>Vējupes pludmales mežs</t>
  </si>
  <si>
    <t>aktivitāšu elementi Vējupei pieguļošajā teritorijā</t>
  </si>
  <si>
    <t>mežu dienas projekts</t>
  </si>
  <si>
    <t>Puķu podi Pirmā ielā pie bērnu dārza transporta organizēšana</t>
  </si>
  <si>
    <t>Atdalošajā joslā starp stāvvietu kabatu un velo joslu izvietot liela izmēra puķu podus ar liela izmēra augiem  lapu krūmiem, lai mašinas nestātos šķērsām un lai veidotu vizuālo norobežojumu bērniem ( plānoti Scanplast zemie podi, 1100 mm diametrs un 450 mm augstums, pamīšus ar LOTUS vidējiem,kopā nepieciešami 12 podi) 6 x440,00 = 2640 un 6x188=1128 Kopā 3768</t>
  </si>
  <si>
    <t>zemais lielais pods - 440,00, LOTUs vidējais188,00</t>
  </si>
  <si>
    <t>Info stends, digitāls</t>
  </si>
  <si>
    <t>pie tirgus Gaujas ielā</t>
  </si>
  <si>
    <t>Info stends ar iespēju izvietot informāciju pie tirgus laukuma ( analogs Carnikavai), LMT kabeļa gals ir izbūvēts jau Gaujas ielas projekta laikā atrodas zem gājēju bruģa seguma pretī UTT)</t>
  </si>
  <si>
    <t>Suņu pastaigu laukums, malā gar stadionu</t>
  </si>
  <si>
    <t>iepējams variants, jauns objekts</t>
  </si>
  <si>
    <t>Velo maršrutu marķēšana</t>
  </si>
  <si>
    <t>ap Lielo Baltezeru, Atari, pa dambi, numuru piešķiršana</t>
  </si>
  <si>
    <t>Stāvvieta ar skvēru Gaujas skvēros (atbērtne)</t>
  </si>
  <si>
    <t>ar velosipēdu P&amp;R stāvvietu</t>
  </si>
  <si>
    <t>Dižkoku sakopšana, jaunu apzīmēšana, koku pie Gaujas 33a sakopšana</t>
  </si>
  <si>
    <t>pēc iepriekšējām Labo koku tāmēm</t>
  </si>
  <si>
    <t>ir sena tāme</t>
  </si>
  <si>
    <t>Gaujas tilta svētku izgaismojums</t>
  </si>
  <si>
    <t>par godu 100 gadei</t>
  </si>
  <si>
    <t>Info plāksnes segumā vai co par Gaujas ielu būvnieku skatē</t>
  </si>
  <si>
    <t>Gaujas iela atpūtas zonā pie Saukas veikala ievietot dekoratīvu piemiņas plāksni vai kādu citu vides objektu</t>
  </si>
  <si>
    <t>Ok, Inita</t>
  </si>
  <si>
    <t>10% algas palielinājums</t>
  </si>
  <si>
    <t>2022.gada jūnijā samazināts</t>
  </si>
  <si>
    <t>2022.gadā +15'000 valsts piemaksas</t>
  </si>
  <si>
    <t>8 ēdnīcas galdkrēsli 4 klašu pusdienošanai, lai nodrošinātu multizāles funkcionalitāti un uzkopi</t>
  </si>
  <si>
    <t>Piekļuves sistēmas automatizācija - kodi vārtiem un ieejas durvīm</t>
  </si>
  <si>
    <t>Raiders ar uzkabēm (lāpsta, birste u.c.) komplekts</t>
  </si>
  <si>
    <t>Interneta tīkla sakārtošana - 20 000 () + Word licence (1500)</t>
  </si>
  <si>
    <t>Bāzes (CKS)</t>
  </si>
  <si>
    <t>Bāze (CKS)</t>
  </si>
  <si>
    <t>2 datori; grāmatu nodošanas pakomāts</t>
  </si>
  <si>
    <t>Grāmatu nodošanas pakomāts</t>
  </si>
  <si>
    <t>+10'957 atalgojums
+2'100 ekspertu pakalpojumi
+26'358 iekārtu un aparatūras apkope un remonts
+8'837 saimnieības materiāli (dvieļi utt., šķembas laukumam utt.)</t>
  </si>
  <si>
    <t>+10'762 atalgojums
+4'089 iekārtu un aparatūras apkope un remonts
+19'500 kurināmais
+2'400 Kondicioniera izbūve servertelpā</t>
  </si>
  <si>
    <t>Algu palielinājums, pedagogiem transporta kompensācija</t>
  </si>
  <si>
    <t>+3'600 datori
+7'000 remonti</t>
  </si>
  <si>
    <t>+7'360 Komunālie - 1/7 no kopsummas</t>
  </si>
  <si>
    <t>+98'000 telpu uzkopšanas ārpakalpojums</t>
  </si>
  <si>
    <t>+26’00 transporta pakalpojumi
-8'500 telpu noma ziemas sezonā
+10'550 dalības maksas, sacensību organizēšana - augušas cenas
+2'000 degviela</t>
  </si>
  <si>
    <t>Kas ir šis?</t>
  </si>
  <si>
    <t>DI pakalpojumu dotācijas</t>
  </si>
  <si>
    <t>(50'000 atmaksā valsts; 73'000 atgūsim no valsts - atņemts no pabalstu kopsummas)</t>
  </si>
  <si>
    <t>Āra vingrošanas elementi</t>
  </si>
  <si>
    <t>Cena</t>
  </si>
  <si>
    <t>Ar PVN</t>
  </si>
  <si>
    <t>Trenažieris spiešanai no krūtīm guļus stāvoklī OG30</t>
  </si>
  <si>
    <t>5560 EUR</t>
  </si>
  <si>
    <t>Pietupienu trenažieris OG10</t>
  </si>
  <si>
    <t>Multifunkcionālā stacija ķermeņa viduklim – OG C7</t>
  </si>
  <si>
    <t>Trenažieris vilkšanai no augšas – OG 24</t>
  </si>
  <si>
    <r>
      <t>Trenažieris invalīdiem – spiešana no pleciem -</t>
    </r>
    <r>
      <rPr>
        <b/>
        <sz val="11"/>
        <color rgb="FF090909"/>
        <rFont val="Arial"/>
        <family val="2"/>
      </rPr>
      <t xml:space="preserve"> OGFA41</t>
    </r>
  </si>
  <si>
    <t>Trenažieris spiešanai no krūtīm slīpus stāvoklī – OG31</t>
  </si>
  <si>
    <t>Trenažieris vilkšanai no priekšas – OG23</t>
  </si>
  <si>
    <t>Bicepsu trenažieris – OG70</t>
  </si>
  <si>
    <t>Tricepsu trenažieris – OG80</t>
  </si>
  <si>
    <t>Multifunkcionālā stacija ar pievilkšanās stieni – OG41</t>
  </si>
  <si>
    <t>4995 EUR</t>
  </si>
  <si>
    <t>Mobilās pamatnes - 2500x1250x40</t>
  </si>
  <si>
    <t>700 EUR</t>
  </si>
  <si>
    <t>5600 EUR</t>
  </si>
  <si>
    <t>Mobilās pamatnes – 3000x1250x40</t>
  </si>
  <si>
    <t>800 EUR</t>
  </si>
  <si>
    <t>1600 EUR</t>
  </si>
  <si>
    <t>Transports(Turku - Tallina - Ādaži)</t>
  </si>
  <si>
    <t>1150 EUR</t>
  </si>
  <si>
    <t>Kopā bez PVN</t>
  </si>
  <si>
    <t>63 385</t>
  </si>
  <si>
    <t>Ieva Melne-Mežajeva</t>
  </si>
  <si>
    <t>Piedāvājums:</t>
  </si>
  <si>
    <t>Reģ.Nr. 20057511708</t>
  </si>
  <si>
    <t>DATUMS</t>
  </si>
  <si>
    <t>25,09,2002</t>
  </si>
  <si>
    <t xml:space="preserve">Kosmonautu iela 22-2, Varakļāni, LV-4838                      Banka: Swedbank
Konts: LV03HABA000130A170186                        </t>
  </si>
  <si>
    <t>e-pasts: iemell@inbox.lv</t>
  </si>
  <si>
    <t>Tālrunis:+37129221493</t>
  </si>
  <si>
    <t>Rēķina saņēmējs:</t>
  </si>
  <si>
    <t>Piedāvājums ir derīgs līdz:</t>
  </si>
  <si>
    <t>Uzņēmuma nosaukums</t>
  </si>
  <si>
    <t>Iela, mājas nr.</t>
  </si>
  <si>
    <t>Pilsēta, novads, pasta indekss</t>
  </si>
  <si>
    <t>Tālruņa numurs</t>
  </si>
  <si>
    <t>Komentāri vai īpaši norādījumi:</t>
  </si>
  <si>
    <r>
      <rPr>
        <b/>
        <sz val="11"/>
        <rFont val="Calibri"/>
        <family val="2"/>
        <scheme val="minor"/>
      </rPr>
      <t xml:space="preserve">49 austas rakstainās jostas, platums 5-6 cm, 3 jostu garumi - 3,50cm; 3,00cm; 2,70cm.  </t>
    </r>
    <r>
      <rPr>
        <sz val="9"/>
        <color theme="1"/>
        <rFont val="Arial"/>
        <family val="2"/>
        <charset val="186"/>
      </rPr>
      <t xml:space="preserve">                                                                  </t>
    </r>
    <r>
      <rPr>
        <b/>
        <sz val="11"/>
        <rFont val="Calibri"/>
        <family val="2"/>
        <scheme val="minor"/>
      </rPr>
      <t>Piedāvāju</t>
    </r>
    <r>
      <rPr>
        <sz val="9"/>
        <color theme="1"/>
        <rFont val="Arial"/>
        <family val="2"/>
        <charset val="186"/>
      </rPr>
      <t xml:space="preserve"> 3 jostu rakstus</t>
    </r>
    <r>
      <rPr>
        <i/>
        <sz val="11"/>
        <rFont val="Calibri"/>
        <family val="2"/>
        <scheme val="minor"/>
      </rPr>
      <t xml:space="preserve"> (skatīt pielikumu) </t>
    </r>
    <r>
      <rPr>
        <sz val="9"/>
        <color theme="1"/>
        <rFont val="Arial"/>
        <family val="2"/>
        <charset val="186"/>
      </rPr>
      <t xml:space="preserve">                                      </t>
    </r>
    <r>
      <rPr>
        <b/>
        <sz val="11"/>
        <rFont val="Calibri"/>
        <family val="2"/>
        <scheme val="minor"/>
      </rPr>
      <t>Materiāls</t>
    </r>
    <r>
      <rPr>
        <sz val="9"/>
        <color theme="1"/>
        <rFont val="Arial"/>
        <family val="2"/>
        <charset val="186"/>
      </rPr>
      <t xml:space="preserve">:                                                                                             Pamata diegs -  pelēks šķeterēts lins.                                         Rakstu diegs - tumši zils, groda šķeterēta vilnas dzija.           </t>
    </r>
    <r>
      <rPr>
        <i/>
        <sz val="11"/>
        <rFont val="Calibri"/>
        <family val="2"/>
        <scheme val="minor"/>
      </rPr>
      <t xml:space="preserve">(jostas toni var mainīt pēc pasūtītāja ieskatiem). </t>
    </r>
    <r>
      <rPr>
        <sz val="9"/>
        <color theme="1"/>
        <rFont val="Arial"/>
        <family val="2"/>
        <charset val="186"/>
      </rPr>
      <t xml:space="preserve">                   </t>
    </r>
  </si>
  <si>
    <t>Apraksts</t>
  </si>
  <si>
    <t>Austas rakstainas jostras 3,50 m  x  6 gb</t>
  </si>
  <si>
    <t>Austas rakstainas jostras 3,00 m  x  4 gb</t>
  </si>
  <si>
    <t>Austas rakstainas jostras 2,70 m  x  39 gb</t>
  </si>
  <si>
    <t xml:space="preserve">KOPSUMMA  </t>
  </si>
  <si>
    <t>PALDIES PAR SADARBĪBU!</t>
  </si>
  <si>
    <t>Nr. ĀNP/1-12-4/22/1786</t>
  </si>
  <si>
    <t>Biedrība “KORIS SAKNES”</t>
  </si>
  <si>
    <t xml:space="preserve">Apes iela 12 - 92, Rīga, </t>
  </si>
  <si>
    <t>Latvija, LV-1006</t>
  </si>
  <si>
    <t>Zināšanai:</t>
  </si>
  <si>
    <t xml:space="preserve">Ādažu novada Kultūras centrs </t>
  </si>
  <si>
    <t xml:space="preserve">Par iniciatīvu projekta pieteikumu </t>
  </si>
  <si>
    <t xml:space="preserve">Ādažu novada pašvaldība izskatīja Jūsu iniciatīvu projekta “Skatuves tērpa papildināšana ar tautisku jostu” pieteikumu pašvaldības līdzfinansējuma saņemšanai (turpmāk – pieteikums). </t>
  </si>
  <si>
    <t xml:space="preserve">Informējam, ka pieteikuma iesniedzēja statuss neatbilst pašvaldības 2022. gada 25. maija nolikuma Nr. 19 “Iniciatīvas projektu finansēšanas kārtība Ādažu novada pašvaldībā” (turpmāk – Nolikums) līdzfinansējuma saņēmēju lokam, jo saskaņā ar 33. punktu, biedrība var pretendēt uz līdzfinansējumu, ja biedrība ir sabiedriskā labuma organizācija, kas apvieno personas ar veselības traucējumiem, bērnus, jauniešus vai pensionārus, lai nodrošinātu viņu dzīves kvalitātes uzlabošanos, iesaistīšanos līdzdalībai pilsoniskajā sabiedrībā. </t>
  </si>
  <si>
    <t>Vienlaikus norādām, ka pašvaldībai nav tiesību piešķirt šķērssubsīdiju tās uzturētai institūcijai. Koris “Saknes” ir Ādažu novada kultūras centra (turpmāk - ĀNKC) amatiermākslas kolektīvs, kura uzturēšana tiek finansēta no pašvaldības budžeta līdzekļiem, tāpēc nepieciešamo līdzekļu pieprasījums ir iekļaujams ĀNKC kārtējā gada budžeta tāmes projektā.</t>
  </si>
  <si>
    <t>Ņemot vērā iepriekš minēto, kora uzturēšanas finanšu līdzekļu plānošanas jautājumos lūdzam vērsties pie ĀNKC vadītājas Lindas Tiļugas (t. 29456335, e-pasts linda@adazikultura.lv ).</t>
  </si>
  <si>
    <t>Pašvaldības izpilddirektors</t>
  </si>
  <si>
    <t>Lielāks procents, jo atvaļinājuma pabalsts pret lielāku summu un arī 1 mēneša rezerve</t>
  </si>
  <si>
    <t>Rezerve skolēnu līdzfinansējumam dalībai konkursos, balstoties uz kritērijiem</t>
  </si>
  <si>
    <t>Ādažos jaunas sēžu zāles ierīkošana; Skaņas aparatūra, video aparatūra. Jaunie MK noteikumi par domes sēžu ierakstiem! (Vai skatītāju zāles datu tīkla ierīkošana)</t>
  </si>
  <si>
    <t>CKS_Dotācija</t>
  </si>
  <si>
    <t>CKS_Dotācija_Investīcija</t>
  </si>
  <si>
    <t>Komunālā saimniecība (bāze) Dome</t>
  </si>
  <si>
    <t>Publisko ūdeņu apsaimniekošanas plāna izstrāde</t>
  </si>
  <si>
    <t>Tehniskās izpētes atzinums Gaujas ielai 16</t>
  </si>
  <si>
    <t>Kulturas centra Gaujas iela 33A Skatuves grīdas atjaunošana</t>
  </si>
  <si>
    <t>Kulturas centra Gaujas iela 33A jumta remonts Mākslas skolas daļā</t>
  </si>
  <si>
    <t>Pašvaldības dzīvokļa remonts Kadaga 10-63</t>
  </si>
  <si>
    <t>Bērnu rotaļu komplekss Carnikavas parkā (8-12 gadi)</t>
  </si>
  <si>
    <t>Piekabe Kioti traktoram Ādažos</t>
  </si>
  <si>
    <t>Lapu sūcējs (piekabe)</t>
  </si>
  <si>
    <t>Laipas izbūve Dzirnezerā pie Purva ielas</t>
  </si>
  <si>
    <t>Caurteku rekonstrukcija (sabrukušas) (2gb D500.-12000 EUR Medus ielā un 1gab.Stempja ceļa D800, Āņos</t>
  </si>
  <si>
    <t>CKS_apsaimniekošana</t>
  </si>
  <si>
    <t>Komunālā saimniecība - Ielu uzturēšana</t>
  </si>
  <si>
    <t>0649 PB Autoceļu fonds</t>
  </si>
  <si>
    <t>04.740.31 INTERREG projekts "DESTI-SMART" tūrisma nodrošināšana, cilvēku skaitītāju apkope, tūrisma ceļu apkope</t>
  </si>
  <si>
    <t>Pieejamie līdzekļi investīcijām</t>
  </si>
  <si>
    <t>Struktūrvienības nosaukums</t>
  </si>
  <si>
    <t>Izvērtējamā projekta nosaukums</t>
  </si>
  <si>
    <t>Attīstības un projektu daļa</t>
  </si>
  <si>
    <t>Sabiedrība ar dvēseli</t>
  </si>
  <si>
    <t>Ādažu novada domes nolikums “Iniciatīvas projektu finansēšanas kārtība Ādažu novada pašvaldībā” (katru gadu tiek izstrādāts no jauna).</t>
  </si>
  <si>
    <t xml:space="preserve">0633.1 </t>
  </si>
  <si>
    <t xml:space="preserve"> ”Mobilitātes punkta infrastruktūras izveidošana Rīgas metropoles areālā – “Carnikava””</t>
  </si>
  <si>
    <t xml:space="preserve"> Maģistrālā  veloceļa izbūve Rīga-Carnikava</t>
  </si>
  <si>
    <t xml:space="preserve"> "Auto stāvlaukuma Lilastē paplašināšana, atpūtas vietu, labiekārtojuma, labierīcību, kempinga iespēju projektēšana un izbūve" ©</t>
  </si>
  <si>
    <t>Plūdu projekts</t>
  </si>
  <si>
    <t>Finansējuma avots</t>
  </si>
  <si>
    <t>SAM 9.2.4.2. projekts "Pasākumi vietējās sabiedrības veselības veicināšanai Ādažu novada pašvaldības Ādažu pagastā"</t>
  </si>
  <si>
    <t>1013.2</t>
  </si>
  <si>
    <t>SAM 9.2.4.2. projekts "Pasākumi vietējās sabiedrības veselības veicināšanai Ādažu novada pašvaldības Carnikavas pagastā"</t>
  </si>
  <si>
    <t>0844.1.</t>
  </si>
  <si>
    <t>0844.2.</t>
  </si>
  <si>
    <t>08.290.24 Eiropas pilsētas veicina starpkulturu dialogu un cīņu pret migrantu un minoritāšu diskrimināciju</t>
  </si>
  <si>
    <t>Salas aizsargdambja apgaismojuma projekts</t>
  </si>
  <si>
    <t>Konta atlikums pārcelts uz 2023.g.</t>
  </si>
  <si>
    <t xml:space="preserve">Konkurss: Par ziemassvētku dekorācijām īpašumos (balvas 250+150+100 +reprezentācija)RP </t>
  </si>
  <si>
    <t xml:space="preserve">Latvijas vides aizsardzības fonda finansējums "Piekrastes apsaimniekošanas praktisko aktivitāšu realizēšanai" </t>
  </si>
  <si>
    <t xml:space="preserve"> Sporta daļa</t>
  </si>
  <si>
    <t>LR kompleksie sporta pasākumi - Basketbola komandas dalība Ramirent Nacionālajā Basketbola līgā</t>
  </si>
  <si>
    <t>LR kompleksie sporta pasākumi - Florbola komandas dalība Elvi Virslīgā</t>
  </si>
  <si>
    <t>Autoratlīdzības līgumu apmaksa māksliniekiem</t>
  </si>
  <si>
    <t>GAUJAS SVĒTKI 2020 (Atsevišķa tāme). prioritāte - Kultūras centra un Gaujas svētku 10.gadu jubilejas programmas organizēšanai. Rīcības plānā 11.1.1.2.</t>
  </si>
  <si>
    <t>Tradicionālo un novada svētku rīkošana</t>
  </si>
  <si>
    <t>Muzejs - Carnikavas novadpētniecības centrs</t>
  </si>
  <si>
    <t>Dziesmu svētki 2023</t>
  </si>
  <si>
    <t>DRN</t>
  </si>
  <si>
    <t>Atbalsts Garkalnes un Baltezera baznīcām</t>
  </si>
  <si>
    <t xml:space="preserve">PII Piejūra </t>
  </si>
  <si>
    <t>Labāko skolēnu apbalvošana par augstiem mācību sasniegumiem un godalgotām vietām mācību  olimpiādēs</t>
  </si>
  <si>
    <t>Bērnu un jauniešu radošās darbnīcas un nometnes</t>
  </si>
  <si>
    <t>Atbalsts jaunatnes politikas īstenošanai vietējā līmenī - Projekts"Mobilais darbs ar jaunatni Ādažu novadā"</t>
  </si>
  <si>
    <t>Darba stacija (35 darba stacijas datorklašu darba vietu palielināšanai līdz 32 katrā telpā mācību programmas realizācijai)</t>
  </si>
  <si>
    <r>
      <t>Interaktīvie displeji 75 collas 3 gab.</t>
    </r>
    <r>
      <rPr>
        <sz val="9"/>
        <color theme="4" tint="-0.249977111117893"/>
        <rFont val="Arial"/>
        <family val="2"/>
        <charset val="186"/>
      </rPr>
      <t xml:space="preserve"> (Komentārs: Ja C korpusā pirmskolas 5 telpās iekarto mācību klases).</t>
    </r>
  </si>
  <si>
    <t>Optiskās datu pārraides nodrošināšana Ādažu vidusskolā Gaujas ielā 30. Ierīkošanas izmaksas un abonēšana mēnesī  (TET piedāvājums 18150 EUR un  297 EUR) (LMT piedāvājums no 14520 līdz  18150 EUR un  300 EUR)</t>
  </si>
  <si>
    <t>Ādažu vidusskola ERASMUS</t>
  </si>
  <si>
    <t xml:space="preserve">Ādažu vidusskolas sākumskola                                                                                                                                                      </t>
  </si>
  <si>
    <t>Velosipēdu statīvi 2.gab.</t>
  </si>
  <si>
    <t>Carnikavas pamatskola ERASMUS+</t>
  </si>
  <si>
    <t>Ādažu novada domes 25.09.2018. nolikums “Iniciatīvas projektu finansēšanas kārtība Ādažu novada pašvaldībā”. ĀND 25.09.2018. nolikums “Iniciatīvas projektu finansēšanas kārtība Ādažu novada pašvaldībā”</t>
  </si>
  <si>
    <t xml:space="preserve">3 guļbaļķu galdi/soli ar jumtu Atpūtas iela 20  </t>
  </si>
  <si>
    <t>Pavisam kopā:</t>
  </si>
  <si>
    <t>Struktv. kods</t>
  </si>
  <si>
    <t>PII Strautiņš</t>
  </si>
  <si>
    <t>Ādažu novada mākslu skola</t>
  </si>
  <si>
    <t>starpība</t>
  </si>
  <si>
    <t>Pasākumi_Bāze</t>
  </si>
  <si>
    <t>Kopsavilkums</t>
  </si>
  <si>
    <t>PIVOT_2023</t>
  </si>
  <si>
    <t>Investīcijas_2023</t>
  </si>
  <si>
    <t>Nav ielikti projekti lapā Kopsavilkums:</t>
  </si>
  <si>
    <r>
      <t>5 datoru iegāde</t>
    </r>
    <r>
      <rPr>
        <sz val="9"/>
        <color theme="4" tint="-0.249977111117893"/>
        <rFont val="Arial"/>
        <family val="2"/>
        <charset val="186"/>
      </rPr>
      <t xml:space="preserve"> </t>
    </r>
  </si>
  <si>
    <t>Pašvaldības finansējums uzsāktajiem projektiem:</t>
  </si>
  <si>
    <t>Pieejamie līdzekļi</t>
  </si>
  <si>
    <t>Carnikavas stadiona rekonstrukcija (Prioritārais)</t>
  </si>
  <si>
    <t>A2/1/22/536</t>
  </si>
  <si>
    <t>P-363/2022</t>
  </si>
  <si>
    <t>20.11.2037.</t>
  </si>
  <si>
    <t>Carnikavas stadiona rekonstrukcija (Covid19)</t>
  </si>
  <si>
    <t>A2/1/22/538</t>
  </si>
  <si>
    <t>P-361/2022</t>
  </si>
  <si>
    <t>22.11.2032.</t>
  </si>
  <si>
    <t>Stacionāro datoru nomaiņa uz portatīvajiem.</t>
  </si>
  <si>
    <t>Multifunkcionālais printeris</t>
  </si>
  <si>
    <t>Speciāli aprīkotas policijas automašīnu iegāde (atbilstoši opertīvā transporta statusam) Operatīvais līzings ~ EUR 4'000 - pirmā iemaksa un mēneša maksājums ~ EUR 450</t>
  </si>
  <si>
    <t>Vakance - vec. sab.attiec.speciālists EUR 24'100</t>
  </si>
  <si>
    <t>Korektūru un maketēšanu veiks darbinieks.</t>
  </si>
  <si>
    <t>Konkurss: Par ziemassvētku dekorācijām īpašumos 2023.gadā</t>
  </si>
  <si>
    <t>Valsts finansējums</t>
  </si>
  <si>
    <t>(DRN,Sabiedrība ar dvēseli, Dziesmu svētku daļa)</t>
  </si>
  <si>
    <t>Civilās aizsardzības plāna izstrāde</t>
  </si>
  <si>
    <t>Jauniešu iniciatīvu projekti</t>
  </si>
  <si>
    <t>Novada pedagogu ikgadējā konference augustā</t>
  </si>
  <si>
    <t>Starpība</t>
  </si>
  <si>
    <t>Sabiedrība ar dvēseli ( no Investīcijām)</t>
  </si>
  <si>
    <t>Dziesmu svētki EUR 47 445 + Dotācija Ukraiņiem EUR 69 735</t>
  </si>
  <si>
    <t>ok</t>
  </si>
  <si>
    <t>atgūsim no valsts (šī summa atņemta no pabalstiem)</t>
  </si>
  <si>
    <t>Ceļu mērķdotācija EUR 340 158 + Dziesmu svētki EUR 66 588 pieskaitīti pie Investīcijām + 1408 pie atalgojuma</t>
  </si>
  <si>
    <t>Dziesmu svētki</t>
  </si>
  <si>
    <t>Starpības veidojas no Komisijām, kurām visa kopsumma skaitās pie atalgojuma un Dziesmu svētku atalgojums ir pie investīcijām</t>
  </si>
  <si>
    <t>DRN,Sabiedrība ar dvēseli pie projektiem, Dziesmu svētki visa kopsumma ielikta te!</t>
  </si>
  <si>
    <t>Carnikavas novada udensaimsniecības attīstība III karta. Gala maksājums - VK kredīta segšana</t>
  </si>
  <si>
    <t>+41'415 - 30% piemaksa nodaļas darbiniekiem 2023., plānojumu izstrādās paši;
2022.gadā neaizpildītas vakances</t>
  </si>
  <si>
    <t>Zemes ierīcības projektu izstrādes</t>
  </si>
  <si>
    <t>Sportisko aktivitāšu laukums Ādažos Pirmā iela 25. Āra sporta laukuma aprīkojums - vingrošanas iekārtas, āra trenažieri, atpūtas vietas , 340 m2, līgums Nr.JUR2022-11/1221, 6728,79 eiro ar PVN; veikta cenu aptauja par vingrošanas iekārtas pārbaudi (363 eiro ar PVN)=7091,80 eiro</t>
  </si>
  <si>
    <t>2023.gadā sniegs pieteikumu</t>
  </si>
  <si>
    <t>Zemes īpašnieki maina lietošanas mērķus.</t>
  </si>
  <si>
    <t>Tas pats attiecas uz mājokļiem un inženierbūvēm, pasūta individuālo vērtējumu. Nevis iepriekš noteikto masveida vērtējumu, ko veic VZD.</t>
  </si>
  <si>
    <t>+2'000 Gaujas svētku publicitātei
+1'000 datu pārnese no Carnikava.lv uz Ādaži.lv
+1'300 reprezentācijas precēm, kas 2022.g. novirzīts sadārdzinājumam kalendāriem</t>
  </si>
  <si>
    <t>Vairāk darbinieki, 2022.gadā vēl notika izmaiņas</t>
  </si>
  <si>
    <t>+ 100'000 Ceļu un ielu kārtējais remonts (bedrītes);
+ 41'000 Ziemas uzturēšanas materiāli  (sāls)</t>
  </si>
  <si>
    <t>+ 2'000 Izdevumi par elektroenerģiju
+ 3'000 Izdevumi par transporta pakalpojumiem
+ 3'000 Tautas nama lielajā zālē ir nepieciešama gaismekļu nomaiņa, jo esoši gaismekļi ir nolietoti
+ 1'600 20 apaļie galdauti,esošie 8 gadu laikā ir nolietoti</t>
  </si>
  <si>
    <t>Skolēnu autobuss operatīvajā līzingā</t>
  </si>
  <si>
    <t>Tulpju iela 5 katlu mājas pārbūve(pašvaldības līdzfinansējums)</t>
  </si>
  <si>
    <t>Kalngales NAI pārbūve (ir projekts)</t>
  </si>
  <si>
    <t>EKII projekts (pašvaldības līdzfinansējums)</t>
  </si>
  <si>
    <t>Kempinga "Artibuss" topogrāfijas izstrāde</t>
  </si>
  <si>
    <t>Kempinga "Artibuss" 26 ēku demontāžas projekts</t>
  </si>
  <si>
    <t>Kempinga "Artibuss" 26 ēku demontāža</t>
  </si>
  <si>
    <t>Baltezera kapu paplašināšanas būvprojekts</t>
  </si>
  <si>
    <t>Ūdenssaimniecības pamatlīdzekļu novērtēšana (ārpakapojums)</t>
  </si>
  <si>
    <t>Aizvara izbūve Vecštāles ceļa caurtekai</t>
  </si>
  <si>
    <t>Domes lēmums</t>
  </si>
  <si>
    <t xml:space="preserve"> (Kopsumma 1'200'000 (ārējais atbalsts 33%))</t>
  </si>
  <si>
    <t>Daļēji no DRN</t>
  </si>
  <si>
    <t>ĀND līdzfinansējums, projekts vēl nav apstiprināts</t>
  </si>
  <si>
    <t>Ceļu audits</t>
  </si>
  <si>
    <t>Inženierbūvju reģistrācija zemes grāmatā mērķdotāciju saņemšanai</t>
  </si>
  <si>
    <t>Ķiršu ielas III kārta no Saules ielas līdz Attekas ielai 0.17km</t>
  </si>
  <si>
    <t>Draudzības iela posmā no Saules ielai līdz Podnieku ielai ar ietvi 0.35km (6000 mašīnas diennaktī)</t>
  </si>
  <si>
    <t>Kredīts</t>
  </si>
  <si>
    <t>Lazdu iela, Garkalne dubultā virsma 0.45km</t>
  </si>
  <si>
    <t>Kastaņu iela, Garkalne dubultā virsma 1.1km</t>
  </si>
  <si>
    <t>Jūras  ielā gājēju pārejas ar ātrumvalni izbūve (ir izstrādāts tehniskais projekts)</t>
  </si>
  <si>
    <t>Dadzīšu ielas projekts</t>
  </si>
  <si>
    <t>Dārza iela Ādažos dubultā virsma 0,65km</t>
  </si>
  <si>
    <t>Gaujmalas iela Ādažos dubultā virsma 0,35km</t>
  </si>
  <si>
    <t>Dzirnupes iela (satiksmes organizācijas izmaiņas)</t>
  </si>
  <si>
    <t>Liepu aleja (ir tehniskais projekts)</t>
  </si>
  <si>
    <t>Atpūtas ielas asfaltbetona seguma atjaunošana 0.23km (ir tehniskais projekts)</t>
  </si>
  <si>
    <t>Viršu ielas/atzars uz Sproģu ielu asfaltbetona seguma atjaunošana posmā no Dzērveņu ielas līdz Serģu iela (980 m) Ir izstrādāts tehniskais projekts</t>
  </si>
  <si>
    <t>Kļavu ielā divkārtas virsmas apstrāde (350 m). Ir būvprojekts</t>
  </si>
  <si>
    <t xml:space="preserve">Novada sporta pasākumi </t>
  </si>
  <si>
    <t>TDA SPRIGULĪTIS Vidzemes novada meiteņu tērpi - pilns komplekts 12 gab. brunči 12 gab. ņieburi, 12 gab. vainagi</t>
  </si>
  <si>
    <t>Baltezera kapu digitalizācija (pogramma Cemety)</t>
  </si>
  <si>
    <t>Līzings?</t>
  </si>
  <si>
    <t>https://omnigym.lv/ara-trenazieri/trenazieris-spiesanai-gulus/</t>
  </si>
  <si>
    <t>https://omnigym.lv/ara-trenazieri/pietupienu-trenazieris/</t>
  </si>
  <si>
    <t>https://omnigym.lv/ara-trenazieri/multifunkcionala-stacija-kermena-viduklim/</t>
  </si>
  <si>
    <t>2100 eur</t>
  </si>
  <si>
    <t>Primāri tie ir paredzēti spiešanai guļus un pietupieniem, bet uz tiem var izpildīt arī virkni citu vingrinājumu - pleciem, trapeces muskuļiem u.c.</t>
  </si>
  <si>
    <t>KOPĀ 2023.GADĀ</t>
  </si>
  <si>
    <t>Līdz ar to, šie ir vismultifunkcionālākie un attīsta krūšu muskuļus, kāju muskuļus, sēžas muskuļus, plecu muskuļus un muguras iztaisnotājmuskuļus.</t>
  </si>
  <si>
    <t>Trešais, savukārt, ir treniņu stacija, kas ietver vēdera preses solu, muguras solu un līdztekas. Līdz ar to, šeit nav kustīgo elementu, bet šī stacija labi nosedz vēdera presi, muguru un roku muskuļus.</t>
  </si>
  <si>
    <t>NEPIECIEŠAMS PAPILDINĀT NĀKAMAJOS GADOS.</t>
  </si>
  <si>
    <t xml:space="preserve">Skolēnu vasaras nodarbinātība - darba samaksa, tāme Nr.1 </t>
  </si>
  <si>
    <t>CKS Pārvalde</t>
  </si>
  <si>
    <t>Ceļu ielu infrastruktūras attīstības programma</t>
  </si>
  <si>
    <r>
      <rPr>
        <sz val="9"/>
        <rFont val="Arial"/>
        <family val="2"/>
        <charset val="186"/>
      </rPr>
      <t>Nulles pagrieziena pļaujmašīna (raiders)</t>
    </r>
    <r>
      <rPr>
        <sz val="9"/>
        <color rgb="FFFF0000"/>
        <rFont val="Arial"/>
        <family val="2"/>
        <charset val="186"/>
      </rPr>
      <t/>
    </r>
  </si>
  <si>
    <r>
      <t xml:space="preserve">Pakalpojumu infrastruktūras attīstība deinstitucionalizācijas plānu īstenošanai Ādažu novadā, 9.3.1.1/19/I/016 </t>
    </r>
    <r>
      <rPr>
        <sz val="9"/>
        <color theme="4" tint="-0.249977111117893"/>
        <rFont val="Arial"/>
        <family val="2"/>
        <charset val="186"/>
      </rPr>
      <t>"Specializētās darbnīcas"</t>
    </r>
  </si>
  <si>
    <t xml:space="preserve">Nekustamā īpašuma nodoklis par mājokļiem </t>
  </si>
  <si>
    <t>Nekustamā īpašuma nodoklis par ēkām un inženierbūvēm</t>
  </si>
  <si>
    <t>Projekts "Eiropas pilsētu iniciatīva"</t>
  </si>
  <si>
    <t>Rasiņu ielas seguma atjaunošana</t>
  </si>
  <si>
    <t>CKS: Domes lēmums (līgums Nr.Jur 2022-11/1207 pagarināts līdz 26.05.2023., iedzīvotāji līdzfinansē 16 000. kas jau pārskaitīti pašvaldības budžetā)</t>
  </si>
  <si>
    <t>CKS: Bija paredzēts 2022.gadā (EUR 15 000) , Tehniskais projekts izmaksāja EUR 7 000</t>
  </si>
  <si>
    <t>CKS: Bija paredzēts 2022.gadā, nerealizēts negaidītā Latvijas ceļu audita dēļ</t>
  </si>
  <si>
    <t>CKS: Līzinga izmaksas</t>
  </si>
  <si>
    <t>CKS: Bija paredzēts 2022.gadā, nerealizēts dēļ īpašumu lietu jautājumu atrisināšanas</t>
  </si>
  <si>
    <t>Komunālā tehnika (2 gb)ar aprīkojumu pļaušanai, lapu savākšanai, slaucīšanai, sniega šķūrēšanai (KUBOTA ) operatīvajā līzingā</t>
  </si>
  <si>
    <t>CKS tāmē iezīmētās investīcijas</t>
  </si>
  <si>
    <t>Aizņēmumu procentu maksājumi:</t>
  </si>
  <si>
    <t>12m EURIBOR + fix daļa 2,143% (t.sk. 0,25% apk. m.)</t>
  </si>
  <si>
    <t>Aizdevumi kopā</t>
  </si>
  <si>
    <t>Domes priekšsēdētāja</t>
  </si>
  <si>
    <t>K.Miķelsone</t>
  </si>
  <si>
    <t>2023. gadā</t>
  </si>
  <si>
    <t>2024. gadā</t>
  </si>
  <si>
    <t xml:space="preserve"> 2025. gadā</t>
  </si>
  <si>
    <t>2026. gadā</t>
  </si>
  <si>
    <t>2027. gadā</t>
  </si>
  <si>
    <t xml:space="preserve"> 2028. gadā</t>
  </si>
  <si>
    <t>2029. gadā</t>
  </si>
  <si>
    <t>Aizdevumi un citas ilgtemiņa sistības kopā:</t>
  </si>
  <si>
    <t>Values</t>
  </si>
  <si>
    <t>A2/1/22/250</t>
  </si>
  <si>
    <t xml:space="preserve">P-164/2022 </t>
  </si>
  <si>
    <t>PRIO</t>
  </si>
  <si>
    <t>A2/1/22/165</t>
  </si>
  <si>
    <t>P-112/2022</t>
  </si>
  <si>
    <t>Nekustamā īpašumu nodaļa (bāze)</t>
  </si>
  <si>
    <t>Lielais NIN maksātājs Ādažu nacionālais mācību centrs, savus mežus  ir pārvērtējis kā jaunaudzes, kas neapliekas ar nodokli, līdz ar to, tas rada NIN samazinājumu zemei diezgan ietekmīgi.</t>
  </si>
  <si>
    <t>13.4.</t>
  </si>
  <si>
    <t xml:space="preserve">ERAF projekta (Nr.5.1.1.0/17/I/009) “Novērst plūdu un krasta erozijas </t>
  </si>
  <si>
    <t>risku apdraudējumu Ādažu novadā, pirmā daļa” īstenošanai</t>
  </si>
  <si>
    <t>A2/1/22/582</t>
  </si>
  <si>
    <t>P-389/2022</t>
  </si>
  <si>
    <t>23.12.2022.</t>
  </si>
  <si>
    <t>21.12.2037.</t>
  </si>
  <si>
    <t>Jāprecizē, vai šis ir jāatmaksā, vai var tērēt 2.kārtai</t>
  </si>
  <si>
    <t>Pastaigu taka gar Baltezera kanālu (kopējā projekta summa EUR 100'000)</t>
  </si>
  <si>
    <t>Rotaļu un aktīvās atpūtas laukums Dailu skvērā. Izveidotajā un pašvadībai nodotajā skvērā sākt veidot aktivitāšu laukumu. Sākt ar jauniešu zonu - vingrošanas iekārtas un trenažieri, gumijas mulčas segums zem sporta iekārtām, 200 m2 platībā</t>
  </si>
  <si>
    <t>0632.4</t>
  </si>
  <si>
    <t>TEP “Atjaunojamo energoresursu izmantošana Ādažu novadā” (EUCF)</t>
  </si>
  <si>
    <t>KA uz 31.12.2023.</t>
  </si>
  <si>
    <t xml:space="preserve">Profesionāls stacionārs PROJEKTORS un komutāciju sistēma ĀKC Skatītāju zālē </t>
  </si>
  <si>
    <t>Obligātās/ gadskārtējās investīcijas:</t>
  </si>
  <si>
    <t>Pārējās investīcijas:</t>
  </si>
  <si>
    <t>0632.5</t>
  </si>
  <si>
    <t>ESF projekts Atbalsts priekšlaicīgas mācību pārtraukšanas samazināšanai © (Pumpurs)</t>
  </si>
  <si>
    <t>Ādažu vidusskolas ēkas B korpusa un savienojuma daļas starp korpusiem (C un B) fasādes atjaunošana (Ir izstrādāts projekts, summa provizoriski kā 2022.g. + apjomu pieaugums).</t>
  </si>
  <si>
    <r>
      <t>Carnikavas stadiona rekonstrukcijas ietvaros. Ūdensņemšanas vieta priekš sniega pūšanas</t>
    </r>
    <r>
      <rPr>
        <i/>
        <sz val="9"/>
        <color theme="4" tint="-0.249977111117893"/>
        <rFont val="Arial"/>
        <family val="2"/>
        <charset val="186"/>
      </rPr>
      <t xml:space="preserve"> (nebija paredzēts projektā) </t>
    </r>
  </si>
  <si>
    <t>Priekšfinansētā pašvaldības daļa tiks atmaksāta.</t>
  </si>
  <si>
    <t>0633.5</t>
  </si>
  <si>
    <t>Ģimenes ārsta prakses izveide_Garā iela 20 (ERAF, SAM 9.3.2. 4.kārta)</t>
  </si>
  <si>
    <t>Mežaparka ceļa izņemtā aizņēmuma summa</t>
  </si>
  <si>
    <t>Kas ar garantijas ieturējumu?</t>
  </si>
  <si>
    <t>KA iezīmētiem mērķiem</t>
  </si>
  <si>
    <t>Kopējais KA</t>
  </si>
  <si>
    <t>Brīvais KA</t>
  </si>
  <si>
    <t>Neieturētais līgumsods 43 000 EUR</t>
  </si>
  <si>
    <t>Uzsāktie un atbalstītie projekti</t>
  </si>
  <si>
    <t>Obligātās/gadskārtējās investīcijas</t>
  </si>
  <si>
    <t>Uzsāktie un atbalstītie projekti pavisam kopā:</t>
  </si>
  <si>
    <t>Obligātās/gadskārtējās investīcijas kopā:</t>
  </si>
  <si>
    <t>Mežaparka ceļš - gala rēķins, garantijas ieturējuma atmaksa</t>
  </si>
  <si>
    <t>ieņēmumi no vecāku maksām (PII)</t>
  </si>
  <si>
    <t>ieņēmumi no vecāku maksām (ĀMMS; BJSS)</t>
  </si>
  <si>
    <t xml:space="preserve">budžeta iestāžu maksas pakalpojumi </t>
  </si>
  <si>
    <t>21.3.9.3.</t>
  </si>
  <si>
    <t>ieņēmumi no biļešu realizācijas</t>
  </si>
  <si>
    <t>Baseina pakalpojumi; telmu nomu komunālie maksājumi</t>
  </si>
  <si>
    <t>13'900 atmaksās LM</t>
  </si>
  <si>
    <t xml:space="preserve">49 austas rakstainās jostas korim SAKNES </t>
  </si>
  <si>
    <t>CKS KA</t>
  </si>
  <si>
    <t>Domes lēmums 13.10.2022. # 482</t>
  </si>
  <si>
    <t>30.11.2022. Lēmums #584</t>
  </si>
  <si>
    <t>Domes lēmums 13.05.2022. #227</t>
  </si>
  <si>
    <t>Domes lēmums 28.09.2022. #462</t>
  </si>
  <si>
    <t>Vai ir lēmums? - Nav!</t>
  </si>
  <si>
    <t>Pašvaldības iesaiste publiski svarīgos pasākumos, projektos Ādažu novadā - Līdzfinansējums</t>
  </si>
  <si>
    <t>Tumbu uz ritentiņiem</t>
  </si>
  <si>
    <t>Uz Dvēseli?</t>
  </si>
  <si>
    <t>3.stāva 4 grupu gaisa dzesēšanas sistēmas uzstādīšana.  Izpēti veic R. Kaufmanis - pēdējais zemākais piedāvājums EUR 13500</t>
  </si>
  <si>
    <t>Jaunas rotaļiekārtas laukumiņos (1.,2.,9. un 12. grupām)</t>
  </si>
  <si>
    <t>CKS: Bija iekļauts 2022.gadā, nerealizēts, jo bija nepieciešams Tehniskais projekts aizņēmumam Valsts kasē</t>
  </si>
  <si>
    <t>MK #112</t>
  </si>
  <si>
    <t>Kad pārņem ĀŪ</t>
  </si>
  <si>
    <t>Aprēķins ārpakalpojumam</t>
  </si>
  <si>
    <t>Līzings</t>
  </si>
  <si>
    <t>Lauksaimniecības tehnikai treilers, cenu aptauja, Carnikava+Ādaži</t>
  </si>
  <si>
    <t>EUR 4'944'662 no oktobra līdz gada beigām IIN palielinājums</t>
  </si>
  <si>
    <t>Pamatā uz ieņēmumiem no dzīvokļu un komunālajiem pakalpojumiem ©</t>
  </si>
  <si>
    <t>Atalgojuma palielinājums</t>
  </si>
  <si>
    <t>2022.gadā veiktie pašvaldības ieguldījumi Carnikavas stadiona rekonstrukcijā</t>
  </si>
  <si>
    <t>2023.gadā plānotie pašvaldības ieguldījumi Carnikavas stadiona rekonstrukcijā</t>
  </si>
  <si>
    <t>Ieņēmumi - izdevumi</t>
  </si>
  <si>
    <t>Vēl nesaņemtā maksājumu daļa no īpašumu pārdošanas Carnikavas pagastā (no kuriem EUR 25'740 nomaksas termiņš līdz 2026. un 2027.gadam)</t>
  </si>
  <si>
    <t>Izdevumi par degvielu</t>
  </si>
  <si>
    <t>1) +8'500 NĪN paziņojumu sūtīšana un pasta pakalpojumi;
2) +4'100 auto uzturēšana (2022.gadā zem SID);
3) + 3'000 degviela;
4) + 6'000 reprezentācijas materiāli un jaundzimušo dāvaniņas
5) -51'000 parāda apkalpošana (2022.liela rezerve)</t>
  </si>
  <si>
    <t>2022.gada saņemtās apmaksas par īpašumu pārdošanu Carnikavas pagastā</t>
  </si>
  <si>
    <t>Bez šī nevar pabeigt stadionu…</t>
  </si>
  <si>
    <t>Neiegūtie ieņēmumi</t>
  </si>
  <si>
    <t>20.07.2023.</t>
  </si>
  <si>
    <t>2022. iegādāti vairāki datori</t>
  </si>
  <si>
    <t>2022.gada sākumā daļa no teritorijas plānotāju algām caur būvvaldi</t>
  </si>
  <si>
    <t>1) +1'900 transporta izmaksas;
2) +5'000 AKKA maksājums pasākumos;
3) +3'000 līdzfinansējums dalībai konkursos</t>
  </si>
  <si>
    <t>+ 2'000 ūdens
+ 2'600 elektroenerģija
+1'400 transporta pakalpojumi
+ 19'800 uzturēšanas remonti
+ 2'900 inventāra apkope
+ 22'450 apkure</t>
  </si>
  <si>
    <t>+5'600 elektroenerģija
+5'000 Carnikavas bukleti
+6'000 uzturēšanas izdevumi</t>
  </si>
  <si>
    <t>Uzturēšana pilns gads</t>
  </si>
  <si>
    <t>+2'000 apkure
+1'600 ūdens, kanalizācija
+1’600 elektrība
+11'000 žalūzijas un mēbeles</t>
  </si>
  <si>
    <t>+2'000 ūdens un kanalizācija
+10'300 elektroenerģija
+5'902 darbinieku apdrošināšana</t>
  </si>
  <si>
    <t>maksa par izglītības pakalpojumiem</t>
  </si>
  <si>
    <t>1014.3 - Sociālais dienests - Dienas centrs Ūdensroze</t>
  </si>
  <si>
    <t>Projekts - Specializētās darbnīcas</t>
  </si>
  <si>
    <t xml:space="preserve">- Atalgojums pilnam gadam (2022.gadā 9 mēneši)
</t>
  </si>
  <si>
    <t xml:space="preserve">100% atmaksa
</t>
  </si>
  <si>
    <r>
      <t xml:space="preserve">Pakalpojumu infrastruktūras attīstība deinstitucionalizācijas plānu īstenošanai Ādažu novadā, 9.3.1.1/19/I/016 </t>
    </r>
    <r>
      <rPr>
        <sz val="9"/>
        <color theme="4"/>
        <rFont val="Arial"/>
        <family val="2"/>
        <charset val="186"/>
      </rPr>
      <t>Pakalpojumi</t>
    </r>
  </si>
  <si>
    <t>Uzsāktie projekti</t>
  </si>
  <si>
    <t>Ikgadējās investīcijas</t>
  </si>
  <si>
    <t>Vēlamās investīcijas</t>
  </si>
  <si>
    <t>0630_cohabit</t>
  </si>
  <si>
    <t>0649 Mežap_cels</t>
  </si>
  <si>
    <t>Brīvais konta atlikums uz 31.12.2022.</t>
  </si>
  <si>
    <t>2022. - Stāvvietas 75'000; 0630 energoproj 42'000; 2023. - stāvvietas; kapsēta</t>
  </si>
  <si>
    <t>Pieaugums pret 2022.g.</t>
  </si>
  <si>
    <t>Pabeigts, kad ienāks, tad aizskaitīsVK kredītu.</t>
  </si>
  <si>
    <t>Laivu ielas KA un atskaitītais finansējums tiks novirzītr kredīta atmaksai.</t>
  </si>
  <si>
    <t>1) + 5'000 TET Stacijas iela 5 palielinājums, jo ievērojami palielināts interneta izmantošana (iepriekš Carnikavas pusē iekšējā datu apraide);
2) +20'000 Tīkla vadi un optikas SFP moduļi, Tīkla aktīvā aparatūra MikroTik (CN + AN). 2022.gadā pārcelts datoru iegādei;
3) + 14'984 ZZ Dats uzturēšana;
4) +8'000 Esošās Carnikavas tīkla infrastruktūras uzturēšana + Ādažu pilsētas optiskā tīkla infrastruktūra, WiFi tīkla paplašināšana. 2022.gadā novirzīts Sporta centra interneta uzlabojumiem.
5) ZZ Dats programmatūra visa zem IT; +15'000 pieaugums</t>
  </si>
  <si>
    <t>+ 3'327 apkure
+3'150 elektroenerģija Stacijas ielā un Depo ielā
+3'000 VAS saņemto sodu daļa
+3'000 iekārtu un telpu uzturēšanai
+5'100 degvielas cenu pieaugums
+3'000 formu iegādēm</t>
  </si>
  <si>
    <t>+7'500 elektronerģija;
+1'000 maksājumi VZD; 
+3'000 mobilie telefoni, monitori;
+4'400 degvielai</t>
  </si>
  <si>
    <t>2022.gadā EUR 37'560 pārlikts uz KA, neaizpidītās vakances un 2023.g. izņemts finansējums 2 no 3 vakancēm</t>
  </si>
  <si>
    <t>-2'000 inventāram;
+2'000 programmatūrām;
+3'000 degviela</t>
  </si>
  <si>
    <t>+23'092 LG. ~ Decembra izmaksas</t>
  </si>
  <si>
    <t>+7'600 Decembra izmaksas par kurināmo Pirmā 42; Gaujas 16
+1'408 Svētku laukuma elektroenerģija;
+ 1'000 apsardze un aprošināšana;
+ 500 transporta nomas maksājumiem;
+ 2'700 PVN nomaksai par iegādātajām precēm, krām reversais PVN (cenas pieaug, PVN palielinās).</t>
  </si>
  <si>
    <t>+ 85'667 kurināmā izmaksu pieaugums;
+ 7'465 ūdens un kanalizācija;
+ 243'863 elektroenerģijas izmaksu pieaugums;
+ 16'800 atkritumu izvešana;
+ 68'708 uzturēšanas remontiem;
+ 20'000 transportlīdzekļu uzturēšana un remonts;
+ 53'700 degviela</t>
  </si>
  <si>
    <t>4.9.</t>
  </si>
  <si>
    <t>4.10.</t>
  </si>
  <si>
    <t>Izlīdzinātas algas starp abu bibliotēku vadītājām</t>
  </si>
  <si>
    <t>2022.gada beigās EUR 2'000 iecelts no Novadpētniecības centra</t>
  </si>
  <si>
    <t>+4'000 sakaru pakalpojumi
+3'000 telefonu iegāde
+4'000 apkure un elektrība
+4'000 telpu īre
+2'000 ēkas un inventāra uzturēšana</t>
  </si>
  <si>
    <t>Palielinās PII audzēkņu skaits un samazinās skolēnu skaits (1 skolēna izmaksa lētāka kā PII audzēkņa izmaksa)</t>
  </si>
  <si>
    <t>+2'000 ūdens un kanalizācija
+10'000 ventilācijas sistēmu apkope (MK prasība)
+10'000 inženiertīklu uzturēšana, remonts
+7'700 apkure
+4'000 ēkas, inventāra uzturēšana;
+9'000 inventārs (2022.g. novirzīts apkures maksājumiem)</t>
  </si>
  <si>
    <t>+14'500 elektroenerģija
+22'000 apkurei
+6'000 inventārs</t>
  </si>
  <si>
    <t>Samazinājies bērnu skaits un mazo bērnu īpatsvars samazinājies</t>
  </si>
  <si>
    <t>+6'000 apkurei
+10'000 elektroenerģija
+21'000 transportam
+66'000 ēdināšanas līdzmaksājumam
+10'000 mācību līdzekļiem</t>
  </si>
  <si>
    <t>+22'000 Apkure
+31'800 Elektroenerģija
+6'500 transporta izdevumi
+9'750 darbinieku apdrošināšana
+48'600 skolēnu ēdināšana</t>
  </si>
  <si>
    <t>+3'300 ūdens, kanalizācija;
+13'100 elektroenerģija;
+8'000 apkure
+6'000 atkritumu apsaimniekošana
+27'000 transporta pakalpojumi
+6'000 inventārs
+10'000 mācību līdzekļi
+11'700 Digit. projekta datoru apdrošināšana</t>
  </si>
  <si>
    <t>Lielāka MD</t>
  </si>
  <si>
    <t>Nav apstiprināts, bet plānots vienādot visiem ekspertiem vienādas algas likmes</t>
  </si>
  <si>
    <t>PII un skolas realizācijai, zemes pirkšana</t>
  </si>
  <si>
    <t>Šis pagaidām nav iekļauts budžetā</t>
  </si>
  <si>
    <t>EUR 162'831 kadastravērtībā īpašumu pārdošana (provizoriski kadastrālā x 2); EUR 128'000 no koku pārdošanas</t>
  </si>
  <si>
    <t>Dabas resursu nodoklis (DRN)</t>
  </si>
  <si>
    <t>DRN iēņēmumi 2023.gadā</t>
  </si>
  <si>
    <t>Būvdarbiem Stapriņu ciema pieslēgšanai Ādažu centralizētajai ūdensapgādes un kanalizācijas sistēmai</t>
  </si>
  <si>
    <t>DRN mērķa izdevumi</t>
  </si>
  <si>
    <t>Plānotais konta atlikums 31.12.2023.</t>
  </si>
  <si>
    <r>
      <t>Pabalsts EUR 50,00 mēnesī ēdināšanai par trešo* bērnu (1,5-7 gadiem).</t>
    </r>
    <r>
      <rPr>
        <sz val="9"/>
        <color rgb="FFFF0000"/>
        <rFont val="Arial"/>
        <family val="2"/>
        <charset val="186"/>
      </rPr>
      <t xml:space="preserve"> (Iekļauts bāzē)</t>
    </r>
  </si>
  <si>
    <r>
      <t xml:space="preserve">Pabalsts EUR 40,00 mēnesī ēdināšanai par trešo* bērnu (5.-9.klase). </t>
    </r>
    <r>
      <rPr>
        <sz val="9"/>
        <color rgb="FFFF0000"/>
        <rFont val="Arial"/>
        <family val="2"/>
        <charset val="186"/>
      </rPr>
      <t xml:space="preserve"> (Iekļauts bāzē)</t>
    </r>
  </si>
  <si>
    <r>
      <t>Daudzbērnu ģimenes pabalsts EUR 50,00 apmērā bērniem no 7-24 g.v. (par ceturto, piekto, sesto utt.).</t>
    </r>
    <r>
      <rPr>
        <sz val="9"/>
        <color rgb="FFFF0000"/>
        <rFont val="Arial"/>
        <family val="2"/>
        <charset val="186"/>
      </rPr>
      <t xml:space="preserve">  (Iekļauts bāzē)</t>
    </r>
  </si>
  <si>
    <t>Pabalsts ēdināšanai (5.-9. klase)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</si>
</sst>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 #,##0.00\ _€_-;\-* #,##0.00\ _€_-;_-* &quot;-&quot;??\ _€_-;_-@_-"/>
    <numFmt numFmtId="165" formatCode="_-&quot;€&quot;\ * #,##0.00_-;\-&quot;€&quot;\ * #,##0.00_-;_-&quot;€&quot;\ * &quot;-&quot;??_-;_-@_-"/>
    <numFmt numFmtId="166" formatCode="_-&quot;Ls&quot;\ * #,##0.00_-;\-&quot;Ls&quot;\ * #,##0.00_-;_-&quot;Ls&quot;\ * &quot;-&quot;??_-;_-@_-"/>
    <numFmt numFmtId="167" formatCode="_-* #,##0_-;\-* #,##0_-;_-* &quot;-&quot;??_-;_-@_-"/>
    <numFmt numFmtId="168" formatCode="0.0%"/>
    <numFmt numFmtId="169" formatCode="0.000%"/>
    <numFmt numFmtId="170" formatCode="[$-426]General"/>
    <numFmt numFmtId="171" formatCode="[$-426]0%"/>
    <numFmt numFmtId="172" formatCode="&quot; &quot;#,##0.00&quot; &quot;;&quot;-&quot;#,##0.00&quot; &quot;;&quot; -&quot;#&quot; &quot;;&quot; &quot;@&quot; &quot;"/>
    <numFmt numFmtId="173" formatCode="[&lt;=9999999]###\-####;\(###\)\ ###\-####"/>
    <numFmt numFmtId="174" formatCode="_-* #,##0.00\ [$EUR]_-;\-* #,##0.00\ [$EUR]_-;_-* &quot;-&quot;??\ [$EUR]_-;_-@_-"/>
    <numFmt numFmtId="175" formatCode="_-* #,##0\ [$EUR]_-;\-* #,##0\ [$EUR]_-;_-* &quot;-&quot;\ [$EUR]_-;_-@_-"/>
    <numFmt numFmtId="176" formatCode="#,##0.000"/>
  </numFmts>
  <fonts count="283"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0"/>
      <name val="Times New Roman"/>
      <family val="1"/>
      <charset val="186"/>
    </font>
    <font>
      <i/>
      <sz val="11"/>
      <color theme="3"/>
      <name val="Times New Roman"/>
      <family val="1"/>
      <charset val="186"/>
    </font>
    <font>
      <i/>
      <sz val="11"/>
      <name val="Times New Roman"/>
      <family val="1"/>
      <charset val="186"/>
    </font>
    <font>
      <b/>
      <i/>
      <sz val="11"/>
      <name val="Times New Roman"/>
      <family val="1"/>
      <charset val="186"/>
    </font>
    <font>
      <b/>
      <sz val="10"/>
      <name val="Times New Roman"/>
      <family val="1"/>
      <charset val="186"/>
    </font>
    <font>
      <sz val="11"/>
      <color theme="1"/>
      <name val="Times New Roman"/>
      <family val="1"/>
      <charset val="186"/>
    </font>
    <font>
      <b/>
      <sz val="9"/>
      <color theme="1"/>
      <name val="Arial"/>
      <family val="2"/>
      <charset val="186"/>
    </font>
    <font>
      <sz val="9"/>
      <name val="Times New Roman"/>
      <family val="1"/>
      <charset val="186"/>
    </font>
    <font>
      <i/>
      <sz val="9"/>
      <color theme="3"/>
      <name val="Times New Roman"/>
      <family val="1"/>
      <charset val="186"/>
    </font>
    <font>
      <b/>
      <sz val="9"/>
      <name val="Times New Roman"/>
      <family val="1"/>
      <charset val="186"/>
    </font>
    <font>
      <b/>
      <sz val="14"/>
      <color theme="1"/>
      <name val="Times New Roman"/>
      <family val="1"/>
      <charset val="186"/>
    </font>
    <font>
      <i/>
      <sz val="11"/>
      <color theme="3"/>
      <name val="Calibri"/>
      <family val="2"/>
      <charset val="186"/>
      <scheme val="minor"/>
    </font>
    <font>
      <sz val="11"/>
      <name val="Calibri"/>
      <family val="2"/>
      <charset val="186"/>
      <scheme val="minor"/>
    </font>
    <font>
      <sz val="9"/>
      <color indexed="56"/>
      <name val="Times New Roman"/>
      <family val="1"/>
      <charset val="186"/>
    </font>
    <font>
      <b/>
      <sz val="8"/>
      <name val="Times New Roman"/>
      <family val="1"/>
      <charset val="186"/>
    </font>
    <font>
      <b/>
      <i/>
      <sz val="8"/>
      <color theme="3"/>
      <name val="Times New Roman"/>
      <family val="1"/>
      <charset val="186"/>
    </font>
    <font>
      <sz val="8"/>
      <name val="Times New Roman"/>
      <family val="1"/>
      <charset val="186"/>
    </font>
    <font>
      <i/>
      <sz val="8"/>
      <color theme="3"/>
      <name val="Times New Roman"/>
      <family val="1"/>
      <charset val="186"/>
    </font>
    <font>
      <sz val="8"/>
      <color rgb="FFFF0000"/>
      <name val="Times New Roman"/>
      <family val="1"/>
      <charset val="186"/>
    </font>
    <font>
      <b/>
      <i/>
      <sz val="9"/>
      <color theme="3"/>
      <name val="Times New Roman"/>
      <family val="1"/>
      <charset val="186"/>
    </font>
    <font>
      <i/>
      <sz val="9"/>
      <color indexed="56"/>
      <name val="Times New Roman"/>
      <family val="1"/>
      <charset val="186"/>
    </font>
    <font>
      <b/>
      <sz val="14"/>
      <name val="Times New Roman"/>
      <family val="1"/>
      <charset val="186"/>
    </font>
    <font>
      <sz val="14"/>
      <name val="Times New Roman"/>
      <family val="1"/>
      <charset val="186"/>
    </font>
    <font>
      <i/>
      <sz val="14"/>
      <color theme="3"/>
      <name val="Times New Roman"/>
      <family val="1"/>
      <charset val="186"/>
    </font>
    <font>
      <b/>
      <sz val="9"/>
      <color indexed="56"/>
      <name val="Times New Roman"/>
      <family val="1"/>
      <charset val="186"/>
    </font>
    <font>
      <b/>
      <sz val="8"/>
      <name val="Arial"/>
      <family val="2"/>
      <charset val="186"/>
    </font>
    <font>
      <sz val="8"/>
      <name val="Arial"/>
      <family val="2"/>
      <charset val="186"/>
    </font>
    <font>
      <sz val="8"/>
      <color rgb="FFFF0000"/>
      <name val="Arial"/>
      <family val="2"/>
      <charset val="186"/>
    </font>
    <font>
      <sz val="8"/>
      <color indexed="10"/>
      <name val="Tahoma"/>
      <family val="2"/>
      <charset val="186"/>
    </font>
    <font>
      <i/>
      <sz val="8"/>
      <name val="Arial"/>
      <family val="2"/>
      <charset val="186"/>
    </font>
    <font>
      <i/>
      <sz val="8"/>
      <color rgb="FFFF0000"/>
      <name val="Arial"/>
      <family val="2"/>
      <charset val="186"/>
    </font>
    <font>
      <i/>
      <sz val="8"/>
      <color theme="3"/>
      <name val="Arial"/>
      <family val="2"/>
      <charset val="186"/>
    </font>
    <font>
      <i/>
      <sz val="8"/>
      <name val="Arial"/>
      <family val="2"/>
    </font>
    <font>
      <sz val="8"/>
      <name val="Arial"/>
      <family val="2"/>
    </font>
    <font>
      <b/>
      <i/>
      <sz val="8"/>
      <name val="Arial"/>
      <family val="2"/>
      <charset val="186"/>
    </font>
    <font>
      <sz val="9"/>
      <color indexed="8"/>
      <name val="Arial"/>
      <family val="2"/>
      <charset val="186"/>
    </font>
    <font>
      <sz val="9"/>
      <color theme="3"/>
      <name val="Arial"/>
      <family val="2"/>
      <charset val="186"/>
    </font>
    <font>
      <sz val="9"/>
      <color rgb="FFFF0000"/>
      <name val="Arial"/>
      <family val="2"/>
      <charset val="186"/>
    </font>
    <font>
      <sz val="9"/>
      <color rgb="FF006100"/>
      <name val="Arial"/>
      <family val="2"/>
      <charset val="186"/>
    </font>
    <font>
      <b/>
      <sz val="12"/>
      <name val="Times New Roman"/>
      <family val="1"/>
      <charset val="186"/>
    </font>
    <font>
      <sz val="12"/>
      <name val="Times New Roman"/>
      <family val="1"/>
      <charset val="186"/>
    </font>
    <font>
      <sz val="12"/>
      <color rgb="FFFF0000"/>
      <name val="Times New Roman"/>
      <family val="1"/>
      <charset val="186"/>
    </font>
    <font>
      <sz val="12"/>
      <color theme="1"/>
      <name val="Times New Roman"/>
      <family val="1"/>
      <charset val="186"/>
    </font>
    <font>
      <sz val="9"/>
      <name val="Arial"/>
      <family val="2"/>
      <charset val="186"/>
    </font>
    <font>
      <sz val="11"/>
      <name val="Times New Roman"/>
      <family val="1"/>
    </font>
    <font>
      <b/>
      <sz val="11"/>
      <color theme="1"/>
      <name val="Calibri"/>
      <family val="2"/>
      <charset val="186"/>
      <scheme val="minor"/>
    </font>
    <font>
      <i/>
      <sz val="8"/>
      <color rgb="FFFF0000"/>
      <name val="Arial"/>
      <family val="2"/>
    </font>
    <font>
      <b/>
      <sz val="10"/>
      <name val="Times New Roman"/>
      <family val="1"/>
    </font>
    <font>
      <sz val="9"/>
      <color rgb="FFFF0000"/>
      <name val="Times New Roman"/>
      <family val="1"/>
      <charset val="186"/>
    </font>
    <font>
      <u/>
      <sz val="11"/>
      <color theme="10"/>
      <name val="Calibri"/>
      <family val="2"/>
      <charset val="186"/>
      <scheme val="minor"/>
    </font>
    <font>
      <sz val="9"/>
      <color rgb="FFC00000"/>
      <name val="Arial"/>
      <family val="2"/>
      <charset val="186"/>
    </font>
    <font>
      <b/>
      <i/>
      <sz val="8"/>
      <color rgb="FFFF0000"/>
      <name val="Arial"/>
      <family val="2"/>
    </font>
    <font>
      <b/>
      <sz val="8"/>
      <name val="Arial"/>
      <family val="2"/>
    </font>
    <font>
      <b/>
      <sz val="12"/>
      <color rgb="FFFF0000"/>
      <name val="Times New Roman"/>
      <family val="1"/>
      <charset val="186"/>
    </font>
    <font>
      <sz val="11"/>
      <color rgb="FF000000"/>
      <name val="Calibri"/>
      <family val="2"/>
    </font>
    <font>
      <b/>
      <sz val="11"/>
      <color rgb="FFFF0000"/>
      <name val="Calibri"/>
      <family val="2"/>
      <charset val="186"/>
      <scheme val="minor"/>
    </font>
    <font>
      <b/>
      <i/>
      <sz val="10"/>
      <name val="Times New Roman"/>
      <family val="1"/>
      <charset val="186"/>
    </font>
    <font>
      <b/>
      <sz val="10"/>
      <name val="Arial"/>
      <family val="2"/>
      <charset val="186"/>
    </font>
    <font>
      <b/>
      <sz val="9"/>
      <name val="Arial"/>
      <family val="2"/>
      <charset val="186"/>
    </font>
    <font>
      <sz val="8"/>
      <color theme="1"/>
      <name val="Calibri"/>
      <family val="2"/>
      <charset val="186"/>
      <scheme val="minor"/>
    </font>
    <font>
      <b/>
      <sz val="9"/>
      <color rgb="FFC00000"/>
      <name val="Arial"/>
      <family val="2"/>
      <charset val="186"/>
    </font>
    <font>
      <i/>
      <sz val="9"/>
      <color theme="1"/>
      <name val="Arial"/>
      <family val="2"/>
      <charset val="186"/>
    </font>
    <font>
      <sz val="10"/>
      <name val="Arial"/>
      <family val="2"/>
    </font>
    <font>
      <b/>
      <sz val="8"/>
      <color rgb="FFFF0000"/>
      <name val="Times New Roman"/>
      <family val="1"/>
      <charset val="186"/>
    </font>
    <font>
      <b/>
      <sz val="9"/>
      <color rgb="FFFF0000"/>
      <name val="Times New Roman"/>
      <family val="1"/>
      <charset val="186"/>
    </font>
    <font>
      <sz val="14"/>
      <color rgb="FFFF0000"/>
      <name val="Times New Roman"/>
      <family val="1"/>
      <charset val="186"/>
    </font>
    <font>
      <b/>
      <sz val="8"/>
      <color theme="4"/>
      <name val="Times New Roman"/>
      <family val="1"/>
      <charset val="186"/>
    </font>
    <font>
      <sz val="8"/>
      <name val="Times New Roman"/>
      <family val="1"/>
    </font>
    <font>
      <b/>
      <sz val="8"/>
      <name val="Times New Roman"/>
      <family val="1"/>
    </font>
    <font>
      <b/>
      <i/>
      <sz val="8"/>
      <name val="Times New Roman"/>
      <family val="1"/>
      <charset val="186"/>
    </font>
    <font>
      <i/>
      <sz val="8"/>
      <name val="Times New Roman"/>
      <family val="1"/>
      <charset val="186"/>
    </font>
    <font>
      <i/>
      <sz val="11"/>
      <name val="Calibri"/>
      <family val="2"/>
      <charset val="186"/>
      <scheme val="minor"/>
    </font>
    <font>
      <i/>
      <sz val="9"/>
      <name val="Times New Roman"/>
      <family val="1"/>
      <charset val="186"/>
    </font>
    <font>
      <sz val="8"/>
      <color indexed="56"/>
      <name val="Times New Roman"/>
      <family val="1"/>
    </font>
    <font>
      <i/>
      <sz val="8"/>
      <name val="Times New Roman"/>
      <family val="1"/>
    </font>
    <font>
      <sz val="8"/>
      <color theme="1"/>
      <name val="Times New Roman"/>
      <family val="1"/>
      <charset val="186"/>
    </font>
    <font>
      <sz val="8"/>
      <color theme="1"/>
      <name val="Times New Roman"/>
      <family val="1"/>
    </font>
    <font>
      <i/>
      <sz val="12"/>
      <color theme="1"/>
      <name val="Times New Roman"/>
      <family val="1"/>
      <charset val="186"/>
    </font>
    <font>
      <i/>
      <sz val="9"/>
      <color theme="3"/>
      <name val="Arial"/>
      <family val="2"/>
      <charset val="186"/>
    </font>
    <font>
      <b/>
      <sz val="11"/>
      <color rgb="FFC00000"/>
      <name val="Times New Roman"/>
      <family val="1"/>
      <charset val="186"/>
    </font>
    <font>
      <sz val="11"/>
      <color rgb="FFFF0000"/>
      <name val="Times New Roman"/>
      <family val="1"/>
    </font>
    <font>
      <b/>
      <i/>
      <sz val="11"/>
      <color theme="3"/>
      <name val="Times New Roman"/>
      <family val="1"/>
      <charset val="186"/>
    </font>
    <font>
      <i/>
      <sz val="11"/>
      <color rgb="FFFF0000"/>
      <name val="Times New Roman"/>
      <family val="1"/>
      <charset val="186"/>
    </font>
    <font>
      <sz val="9"/>
      <color indexed="81"/>
      <name val="Tahoma"/>
      <family val="2"/>
      <charset val="186"/>
    </font>
    <font>
      <b/>
      <sz val="9"/>
      <color indexed="81"/>
      <name val="Tahoma"/>
      <family val="2"/>
      <charset val="186"/>
    </font>
    <font>
      <sz val="10"/>
      <name val="Arial"/>
      <family val="2"/>
      <charset val="186"/>
    </font>
    <font>
      <sz val="8"/>
      <color rgb="FFC00000"/>
      <name val="Times New Roman"/>
      <family val="1"/>
      <charset val="186"/>
    </font>
    <font>
      <b/>
      <sz val="8"/>
      <color rgb="FFC00000"/>
      <name val="Times New Roman"/>
      <family val="1"/>
      <charset val="186"/>
    </font>
    <font>
      <sz val="9"/>
      <color rgb="FFC00000"/>
      <name val="Times New Roman"/>
      <family val="1"/>
      <charset val="186"/>
    </font>
    <font>
      <i/>
      <sz val="11"/>
      <color rgb="FFC00000"/>
      <name val="Calibri"/>
      <family val="2"/>
      <charset val="186"/>
      <scheme val="minor"/>
    </font>
    <font>
      <b/>
      <sz val="9"/>
      <color rgb="FFC00000"/>
      <name val="Times New Roman"/>
      <family val="1"/>
      <charset val="186"/>
    </font>
    <font>
      <sz val="11"/>
      <color rgb="FFC00000"/>
      <name val="Times New Roman"/>
      <family val="1"/>
      <charset val="186"/>
    </font>
    <font>
      <sz val="14"/>
      <color rgb="FFC00000"/>
      <name val="Times New Roman"/>
      <family val="1"/>
      <charset val="186"/>
    </font>
    <font>
      <i/>
      <sz val="9"/>
      <color rgb="FFFF0000"/>
      <name val="Arial"/>
      <family val="2"/>
      <charset val="186"/>
    </font>
    <font>
      <sz val="9"/>
      <color theme="1"/>
      <name val="Calibri"/>
      <family val="2"/>
      <charset val="186"/>
      <scheme val="minor"/>
    </font>
    <font>
      <sz val="11"/>
      <color theme="1"/>
      <name val="Arial"/>
      <family val="2"/>
      <charset val="186"/>
    </font>
    <font>
      <b/>
      <sz val="16"/>
      <color theme="1"/>
      <name val="Times New Roman"/>
      <family val="1"/>
      <charset val="186"/>
    </font>
    <font>
      <sz val="13"/>
      <name val="Times New Roman"/>
      <family val="1"/>
    </font>
    <font>
      <u/>
      <sz val="12"/>
      <color theme="10"/>
      <name val="Times New Roman"/>
      <family val="2"/>
      <charset val="186"/>
    </font>
    <font>
      <sz val="11"/>
      <color theme="1"/>
      <name val="Calibri"/>
      <family val="2"/>
      <scheme val="minor"/>
    </font>
    <font>
      <sz val="11"/>
      <name val="Calibri"/>
      <family val="2"/>
      <scheme val="minor"/>
    </font>
    <font>
      <b/>
      <sz val="11"/>
      <name val="Calibri"/>
      <family val="2"/>
      <charset val="186"/>
      <scheme val="minor"/>
    </font>
    <font>
      <sz val="10"/>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i/>
      <sz val="9"/>
      <color rgb="FFC00000"/>
      <name val="Arial"/>
      <family val="2"/>
      <charset val="186"/>
    </font>
    <font>
      <i/>
      <sz val="11"/>
      <color theme="1"/>
      <name val="Times New Roman"/>
      <family val="1"/>
      <charset val="186"/>
    </font>
    <font>
      <sz val="11"/>
      <color rgb="FF7030A0"/>
      <name val="Times New Roman"/>
      <family val="1"/>
      <charset val="186"/>
    </font>
    <font>
      <sz val="10"/>
      <name val="Helv"/>
    </font>
    <font>
      <b/>
      <sz val="8"/>
      <color rgb="FF7030A0"/>
      <name val="Arial"/>
      <family val="2"/>
      <charset val="186"/>
    </font>
    <font>
      <i/>
      <sz val="11"/>
      <color rgb="FFC00000"/>
      <name val="Times New Roman"/>
      <family val="1"/>
      <charset val="186"/>
    </font>
    <font>
      <b/>
      <i/>
      <sz val="11"/>
      <color rgb="FFC00000"/>
      <name val="Times New Roman"/>
      <family val="1"/>
      <charset val="186"/>
    </font>
    <font>
      <b/>
      <sz val="12"/>
      <color theme="1"/>
      <name val="Times New Roman"/>
      <family val="1"/>
      <charset val="186"/>
    </font>
    <font>
      <sz val="11"/>
      <color rgb="FF00B050"/>
      <name val="Times New Roman"/>
      <family val="1"/>
      <charset val="186"/>
    </font>
    <font>
      <b/>
      <sz val="10"/>
      <color theme="1"/>
      <name val="Calibri"/>
      <family val="2"/>
      <charset val="186"/>
      <scheme val="minor"/>
    </font>
    <font>
      <b/>
      <sz val="10"/>
      <color indexed="56"/>
      <name val="Times New Roman"/>
      <family val="1"/>
      <charset val="186"/>
    </font>
    <font>
      <b/>
      <sz val="16"/>
      <name val="Times New Roman"/>
      <family val="1"/>
      <charset val="186"/>
    </font>
    <font>
      <sz val="12"/>
      <color theme="1"/>
      <name val="Times New Roman"/>
      <family val="1"/>
    </font>
    <font>
      <sz val="9"/>
      <color rgb="FFFF0000"/>
      <name val="Calibri"/>
      <family val="2"/>
      <charset val="186"/>
      <scheme val="minor"/>
    </font>
    <font>
      <sz val="9"/>
      <color rgb="FF7030A0"/>
      <name val="Arial"/>
      <family val="2"/>
      <charset val="186"/>
    </font>
    <font>
      <sz val="8"/>
      <color rgb="FFFF0000"/>
      <name val="Arial"/>
      <family val="2"/>
    </font>
    <font>
      <b/>
      <sz val="9"/>
      <color rgb="FF7030A0"/>
      <name val="Arial"/>
      <family val="2"/>
      <charset val="186"/>
    </font>
    <font>
      <u/>
      <sz val="9"/>
      <color theme="10"/>
      <name val="Arial"/>
      <family val="2"/>
      <charset val="186"/>
    </font>
    <font>
      <b/>
      <sz val="11"/>
      <name val="Calibri"/>
      <family val="2"/>
      <scheme val="minor"/>
    </font>
    <font>
      <i/>
      <sz val="11"/>
      <color theme="4"/>
      <name val="Times New Roman"/>
      <family val="1"/>
      <charset val="186"/>
    </font>
    <font>
      <b/>
      <i/>
      <sz val="11"/>
      <color theme="4"/>
      <name val="Times New Roman"/>
      <family val="1"/>
      <charset val="186"/>
    </font>
    <font>
      <sz val="9"/>
      <color theme="4"/>
      <name val="Times New Roman"/>
      <family val="1"/>
      <charset val="186"/>
    </font>
    <font>
      <sz val="14"/>
      <color theme="4"/>
      <name val="Times New Roman"/>
      <family val="1"/>
      <charset val="186"/>
    </font>
    <font>
      <i/>
      <sz val="11"/>
      <color rgb="FF7030A0"/>
      <name val="Times New Roman"/>
      <family val="1"/>
      <charset val="186"/>
    </font>
    <font>
      <b/>
      <i/>
      <sz val="11"/>
      <color rgb="FF7030A0"/>
      <name val="Times New Roman"/>
      <family val="1"/>
      <charset val="186"/>
    </font>
    <font>
      <i/>
      <sz val="9"/>
      <color rgb="FF7030A0"/>
      <name val="Arial"/>
      <family val="2"/>
      <charset val="186"/>
    </font>
    <font>
      <b/>
      <i/>
      <sz val="9"/>
      <color rgb="FF7030A0"/>
      <name val="Arial"/>
      <family val="2"/>
      <charset val="186"/>
    </font>
    <font>
      <sz val="11"/>
      <color rgb="FF9C5700"/>
      <name val="Calibri"/>
      <family val="2"/>
      <charset val="186"/>
      <scheme val="minor"/>
    </font>
    <font>
      <b/>
      <sz val="9"/>
      <color rgb="FFFF0000"/>
      <name val="Arial"/>
      <family val="2"/>
      <charset val="186"/>
    </font>
    <font>
      <i/>
      <sz val="11"/>
      <color rgb="FF7030A0"/>
      <name val="Calibri"/>
      <family val="2"/>
      <scheme val="minor"/>
    </font>
    <font>
      <sz val="11"/>
      <color rgb="FF0070C0"/>
      <name val="Calibri"/>
      <family val="2"/>
      <charset val="186"/>
      <scheme val="minor"/>
    </font>
    <font>
      <b/>
      <sz val="14"/>
      <color theme="1"/>
      <name val="Calibri"/>
      <family val="2"/>
      <charset val="186"/>
      <scheme val="minor"/>
    </font>
    <font>
      <sz val="14"/>
      <color theme="1"/>
      <name val="Calibri"/>
      <family val="2"/>
      <scheme val="minor"/>
    </font>
    <font>
      <b/>
      <i/>
      <sz val="11"/>
      <color rgb="FF7030A0"/>
      <name val="Calibri"/>
      <family val="2"/>
      <scheme val="minor"/>
    </font>
    <font>
      <b/>
      <sz val="11"/>
      <color rgb="FF0070C0"/>
      <name val="Calibri"/>
      <family val="2"/>
      <charset val="186"/>
      <scheme val="minor"/>
    </font>
    <font>
      <b/>
      <i/>
      <u/>
      <sz val="9"/>
      <name val="Calibri"/>
      <family val="2"/>
      <scheme val="minor"/>
    </font>
    <font>
      <b/>
      <u/>
      <sz val="9"/>
      <name val="Calibri"/>
      <family val="2"/>
      <charset val="186"/>
      <scheme val="minor"/>
    </font>
    <font>
      <u/>
      <sz val="9"/>
      <name val="Calibri"/>
      <family val="2"/>
      <scheme val="minor"/>
    </font>
    <font>
      <b/>
      <i/>
      <sz val="9"/>
      <color rgb="FF7030A0"/>
      <name val="Calibri"/>
      <family val="2"/>
      <scheme val="minor"/>
    </font>
    <font>
      <b/>
      <sz val="9"/>
      <color rgb="FF0070C0"/>
      <name val="Calibri"/>
      <family val="2"/>
      <charset val="186"/>
      <scheme val="minor"/>
    </font>
    <font>
      <i/>
      <sz val="11"/>
      <color rgb="FF0070C0"/>
      <name val="Calibri"/>
      <family val="2"/>
      <charset val="186"/>
      <scheme val="minor"/>
    </font>
    <font>
      <sz val="11"/>
      <color rgb="FF000000"/>
      <name val="Calibri"/>
      <family val="2"/>
      <charset val="186"/>
      <scheme val="minor"/>
    </font>
    <font>
      <i/>
      <sz val="11"/>
      <color theme="1"/>
      <name val="Calibri"/>
      <family val="2"/>
      <charset val="186"/>
      <scheme val="minor"/>
    </font>
    <font>
      <i/>
      <sz val="11"/>
      <color rgb="FFFF0000"/>
      <name val="Calibri"/>
      <family val="2"/>
      <scheme val="minor"/>
    </font>
    <font>
      <b/>
      <sz val="11"/>
      <color theme="1"/>
      <name val="Calibri"/>
      <family val="2"/>
      <scheme val="minor"/>
    </font>
    <font>
      <u/>
      <sz val="11"/>
      <color theme="10"/>
      <name val="Calibri"/>
      <family val="2"/>
      <charset val="186"/>
    </font>
    <font>
      <u/>
      <sz val="8"/>
      <color theme="10"/>
      <name val="Calibri"/>
      <family val="2"/>
      <charset val="186"/>
    </font>
    <font>
      <b/>
      <sz val="18"/>
      <name val="Calibri"/>
      <family val="2"/>
      <scheme val="minor"/>
    </font>
    <font>
      <sz val="11"/>
      <color theme="1"/>
      <name val="Times New Roman"/>
      <family val="1"/>
    </font>
    <font>
      <sz val="11"/>
      <color rgb="FF000000"/>
      <name val="Times New Roman"/>
      <family val="1"/>
    </font>
    <font>
      <sz val="11"/>
      <color theme="1"/>
      <name val="Calibri"/>
      <family val="2"/>
    </font>
    <font>
      <b/>
      <sz val="14"/>
      <name val="Calibri"/>
      <family val="2"/>
      <scheme val="minor"/>
    </font>
    <font>
      <b/>
      <sz val="9"/>
      <color rgb="FF0D0D0D"/>
      <name val="Calibri"/>
      <family val="2"/>
    </font>
    <font>
      <sz val="10"/>
      <color theme="1"/>
      <name val="Calibri"/>
      <family val="2"/>
    </font>
    <font>
      <sz val="11.5"/>
      <color theme="1"/>
      <name val="Times New Roman"/>
      <family val="1"/>
    </font>
    <font>
      <sz val="5.5"/>
      <color theme="1"/>
      <name val="Times New Roman"/>
      <family val="1"/>
    </font>
    <font>
      <sz val="9"/>
      <color rgb="FF0D0D0D"/>
      <name val="Calibri"/>
      <family val="2"/>
    </font>
    <font>
      <sz val="5"/>
      <color theme="1"/>
      <name val="Times New Roman"/>
      <family val="1"/>
    </font>
    <font>
      <sz val="1.5"/>
      <color theme="1"/>
      <name val="Times New Roman"/>
      <family val="1"/>
    </font>
    <font>
      <sz val="1"/>
      <color theme="1"/>
      <name val="Times New Roman"/>
      <family val="1"/>
    </font>
    <font>
      <sz val="7.5"/>
      <color theme="1"/>
      <name val="Times New Roman"/>
      <family val="1"/>
    </font>
    <font>
      <b/>
      <sz val="16"/>
      <name val="Calibri"/>
      <family val="2"/>
      <scheme val="minor"/>
    </font>
    <font>
      <sz val="3"/>
      <color rgb="FF333333"/>
      <name val="Times New Roman"/>
      <family val="1"/>
    </font>
    <font>
      <sz val="2.5"/>
      <color rgb="FF333333"/>
      <name val="Times New Roman"/>
      <family val="1"/>
    </font>
    <font>
      <sz val="4"/>
      <color theme="1"/>
      <name val="Times New Roman"/>
      <family val="1"/>
    </font>
    <font>
      <b/>
      <sz val="8"/>
      <color theme="1"/>
      <name val="Times New Roman"/>
      <family val="1"/>
    </font>
    <font>
      <sz val="3"/>
      <color theme="1"/>
      <name val="Times New Roman"/>
      <family val="1"/>
    </font>
    <font>
      <sz val="4.5"/>
      <color theme="1"/>
      <name val="Times New Roman"/>
      <family val="1"/>
    </font>
    <font>
      <sz val="6.5"/>
      <color theme="1"/>
      <name val="Times New Roman"/>
      <family val="1"/>
    </font>
    <font>
      <sz val="9"/>
      <color theme="1"/>
      <name val="Times New Roman"/>
      <family val="1"/>
    </font>
    <font>
      <sz val="2"/>
      <color theme="1"/>
      <name val="Times New Roman"/>
      <family val="1"/>
    </font>
    <font>
      <sz val="2.5"/>
      <color theme="1"/>
      <name val="Times New Roman"/>
      <family val="1"/>
    </font>
    <font>
      <b/>
      <sz val="8"/>
      <color rgb="FF333333"/>
      <name val="Times New Roman"/>
      <family val="1"/>
    </font>
    <font>
      <sz val="6"/>
      <color theme="1"/>
      <name val="Times New Roman"/>
      <family val="1"/>
    </font>
    <font>
      <sz val="8"/>
      <color rgb="FF333333"/>
      <name val="Times New Roman"/>
      <family val="1"/>
    </font>
    <font>
      <sz val="9.5"/>
      <color theme="1"/>
      <name val="Times New Roman"/>
      <family val="1"/>
    </font>
    <font>
      <b/>
      <sz val="10"/>
      <color rgb="FFFF0000"/>
      <name val="Calibri"/>
      <family val="2"/>
      <charset val="186"/>
      <scheme val="minor"/>
    </font>
    <font>
      <b/>
      <sz val="8"/>
      <color rgb="FFFF0000"/>
      <name val="Arial"/>
      <family val="2"/>
    </font>
    <font>
      <b/>
      <i/>
      <sz val="8"/>
      <name val="Arial"/>
      <family val="2"/>
    </font>
    <font>
      <sz val="12"/>
      <color theme="1"/>
      <name val="Verdana"/>
      <family val="2"/>
      <charset val="186"/>
    </font>
    <font>
      <sz val="6"/>
      <name val="Arial"/>
      <family val="2"/>
      <charset val="186"/>
    </font>
    <font>
      <b/>
      <i/>
      <sz val="10"/>
      <color theme="1"/>
      <name val="Calibri"/>
      <family val="2"/>
      <charset val="186"/>
      <scheme val="minor"/>
    </font>
    <font>
      <b/>
      <sz val="10"/>
      <name val="Calibri"/>
      <family val="2"/>
      <charset val="186"/>
      <scheme val="minor"/>
    </font>
    <font>
      <sz val="10"/>
      <name val="Calibri"/>
      <family val="2"/>
      <charset val="186"/>
      <scheme val="minor"/>
    </font>
    <font>
      <sz val="8"/>
      <color indexed="56"/>
      <name val="Times New Roman"/>
      <family val="1"/>
      <charset val="186"/>
    </font>
    <font>
      <u/>
      <sz val="8"/>
      <color rgb="FFFF0000"/>
      <name val="Times New Roman"/>
      <family val="1"/>
      <charset val="186"/>
    </font>
    <font>
      <sz val="9"/>
      <color theme="0"/>
      <name val="Arial"/>
      <family val="2"/>
      <charset val="186"/>
    </font>
    <font>
      <sz val="6"/>
      <color rgb="FFFF0000"/>
      <name val="Arial"/>
      <family val="2"/>
      <charset val="186"/>
    </font>
    <font>
      <b/>
      <i/>
      <sz val="11"/>
      <color theme="1"/>
      <name val="Calibri"/>
      <family val="2"/>
      <charset val="186"/>
      <scheme val="minor"/>
    </font>
    <font>
      <sz val="10"/>
      <color rgb="FFFF0000"/>
      <name val="Calibri"/>
      <family val="2"/>
      <charset val="186"/>
      <scheme val="minor"/>
    </font>
    <font>
      <sz val="10.5"/>
      <color theme="1"/>
      <name val="Times New Roman"/>
      <family val="1"/>
    </font>
    <font>
      <b/>
      <sz val="11"/>
      <color theme="1"/>
      <name val="Arial"/>
      <family val="2"/>
    </font>
    <font>
      <b/>
      <sz val="11"/>
      <color rgb="FF090909"/>
      <name val="Arial"/>
      <family val="2"/>
    </font>
    <font>
      <sz val="28"/>
      <color theme="0" tint="-0.499984740745262"/>
      <name val="Calibri Light"/>
      <family val="2"/>
      <scheme val="major"/>
    </font>
    <font>
      <b/>
      <i/>
      <sz val="11"/>
      <name val="Calibri"/>
      <family val="2"/>
      <scheme val="minor"/>
    </font>
    <font>
      <i/>
      <sz val="11"/>
      <name val="Calibri"/>
      <family val="2"/>
      <scheme val="minor"/>
    </font>
    <font>
      <sz val="12"/>
      <color rgb="FF000000"/>
      <name val="Times New Roman"/>
      <family val="1"/>
      <charset val="186"/>
    </font>
    <font>
      <b/>
      <sz val="12"/>
      <color rgb="FFFF0000"/>
      <name val="Arial"/>
      <family val="2"/>
      <charset val="186"/>
    </font>
    <font>
      <i/>
      <sz val="9"/>
      <color theme="4" tint="-0.249977111117893"/>
      <name val="Arial"/>
      <family val="2"/>
      <charset val="186"/>
    </font>
    <font>
      <b/>
      <i/>
      <sz val="9"/>
      <name val="Arial"/>
      <family val="2"/>
      <charset val="186"/>
    </font>
    <font>
      <sz val="9"/>
      <color theme="4" tint="-0.249977111117893"/>
      <name val="Arial"/>
      <family val="2"/>
      <charset val="186"/>
    </font>
    <font>
      <sz val="6"/>
      <color rgb="FF7030A0"/>
      <name val="Arial"/>
      <family val="2"/>
      <charset val="186"/>
    </font>
    <font>
      <b/>
      <sz val="9"/>
      <color theme="0"/>
      <name val="Arial"/>
      <family val="2"/>
      <charset val="186"/>
    </font>
    <font>
      <b/>
      <sz val="12"/>
      <color theme="1"/>
      <name val="Times New Roman"/>
      <family val="1"/>
    </font>
    <font>
      <i/>
      <sz val="8"/>
      <color theme="8" tint="-0.249977111117893"/>
      <name val="Arial"/>
      <family val="2"/>
      <charset val="186"/>
    </font>
    <font>
      <sz val="7"/>
      <color theme="2" tint="-0.499984740745262"/>
      <name val="Times New Roman"/>
      <family val="1"/>
      <charset val="186"/>
    </font>
    <font>
      <i/>
      <sz val="8"/>
      <color theme="3"/>
      <name val="Times New Roman"/>
      <family val="1"/>
    </font>
    <font>
      <i/>
      <sz val="9"/>
      <color theme="8"/>
      <name val="Arial"/>
      <family val="2"/>
      <charset val="186"/>
    </font>
    <font>
      <sz val="9"/>
      <color theme="8"/>
      <name val="Arial"/>
      <family val="2"/>
      <charset val="186"/>
    </font>
    <font>
      <i/>
      <sz val="9"/>
      <color theme="4"/>
      <name val="Arial"/>
      <family val="2"/>
      <charset val="186"/>
    </font>
    <font>
      <sz val="9"/>
      <color theme="4"/>
      <name val="Arial"/>
      <family val="2"/>
      <charset val="186"/>
    </font>
    <font>
      <sz val="11"/>
      <color theme="9" tint="-0.249977111117893"/>
      <name val="Times New Roman"/>
      <family val="1"/>
      <charset val="186"/>
    </font>
    <font>
      <sz val="6"/>
      <color rgb="FFC00000"/>
      <name val="Arial"/>
      <family val="2"/>
      <charset val="186"/>
    </font>
    <font>
      <i/>
      <sz val="6"/>
      <name val="Arial"/>
      <family val="2"/>
      <charset val="186"/>
    </font>
    <font>
      <i/>
      <sz val="6"/>
      <color rgb="FFFF0000"/>
      <name val="Arial"/>
      <family val="2"/>
      <charset val="186"/>
    </font>
    <font>
      <i/>
      <sz val="6"/>
      <color rgb="FF7030A0"/>
      <name val="Arial"/>
      <family val="2"/>
      <charset val="186"/>
    </font>
    <font>
      <i/>
      <sz val="11"/>
      <color rgb="FF8E267F"/>
      <name val="Times New Roman"/>
      <family val="1"/>
      <charset val="186"/>
    </font>
    <font>
      <i/>
      <sz val="9"/>
      <color rgb="FF8E267F"/>
      <name val="Arial"/>
      <family val="2"/>
      <charset val="186"/>
    </font>
    <font>
      <i/>
      <sz val="6"/>
      <color rgb="FF8E267F"/>
      <name val="Arial"/>
      <family val="2"/>
      <charset val="186"/>
    </font>
  </fonts>
  <fills count="71">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2"/>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CFF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rgb="FFF7E1F7"/>
        <bgColor indexed="64"/>
      </patternFill>
    </fill>
    <fill>
      <patternFill patternType="solid">
        <fgColor rgb="FFF2F2F2"/>
        <bgColor indexed="64"/>
      </patternFill>
    </fill>
    <fill>
      <patternFill patternType="solid">
        <fgColor rgb="FF000000"/>
        <bgColor indexed="64"/>
      </patternFill>
    </fill>
    <fill>
      <patternFill patternType="solid">
        <fgColor rgb="FFFFD966"/>
        <bgColor indexed="64"/>
      </patternFill>
    </fill>
    <fill>
      <patternFill patternType="solid">
        <fgColor rgb="FFFFE699"/>
        <bgColor indexed="64"/>
      </patternFill>
    </fill>
    <fill>
      <patternFill patternType="solid">
        <fgColor rgb="FFD0FACB"/>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bgColor theme="4"/>
      </patternFill>
    </fill>
    <fill>
      <patternFill patternType="solid">
        <fgColor theme="8" tint="0.79998168889431442"/>
        <bgColor indexed="64"/>
      </patternFill>
    </fill>
    <fill>
      <patternFill patternType="solid">
        <fgColor theme="2" tint="-9.9978637043366805E-2"/>
        <bgColor indexed="64"/>
      </patternFill>
    </fill>
  </fills>
  <borders count="1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55"/>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55"/>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bottom style="thin">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medium">
        <color indexed="64"/>
      </top>
      <bottom style="thin">
        <color indexed="55"/>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right style="medium">
        <color rgb="FFFFD966"/>
      </right>
      <top/>
      <bottom/>
      <diagonal/>
    </border>
    <border>
      <left/>
      <right style="medium">
        <color rgb="FFFFD966"/>
      </right>
      <top/>
      <bottom style="medium">
        <color indexed="64"/>
      </bottom>
      <diagonal/>
    </border>
    <border>
      <left/>
      <right/>
      <top/>
      <bottom style="medium">
        <color rgb="FFFFE699"/>
      </bottom>
      <diagonal/>
    </border>
    <border>
      <left/>
      <right/>
      <top style="medium">
        <color rgb="FFFFE699"/>
      </top>
      <bottom/>
      <diagonal/>
    </border>
    <border>
      <left/>
      <right style="medium">
        <color rgb="FFFFE699"/>
      </right>
      <top style="medium">
        <color rgb="FFFFE699"/>
      </top>
      <bottom/>
      <diagonal/>
    </border>
    <border>
      <left/>
      <right style="medium">
        <color rgb="FFFFE699"/>
      </right>
      <top/>
      <bottom/>
      <diagonal/>
    </border>
    <border>
      <left/>
      <right style="medium">
        <color rgb="FFFFE699"/>
      </right>
      <top/>
      <bottom style="medium">
        <color rgb="FFFFE699"/>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9CC2E5"/>
      </left>
      <right style="medium">
        <color rgb="FF9CC2E5"/>
      </right>
      <top style="medium">
        <color rgb="FF9CC2E5"/>
      </top>
      <bottom style="medium">
        <color rgb="FF9CC2E5"/>
      </bottom>
      <diagonal/>
    </border>
    <border>
      <left style="medium">
        <color rgb="FF9CC2E5"/>
      </left>
      <right/>
      <top/>
      <bottom/>
      <diagonal/>
    </border>
    <border>
      <left/>
      <right style="medium">
        <color rgb="FF9CC2E5"/>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4" tint="-0.249977111117893"/>
      </top>
      <bottom/>
      <diagonal/>
    </border>
    <border>
      <left style="thin">
        <color theme="4" tint="0.39997558519241921"/>
      </left>
      <right style="thin">
        <color theme="4" tint="0.39997558519241921"/>
      </right>
      <top/>
      <bottom/>
      <diagonal/>
    </border>
    <border>
      <left/>
      <right/>
      <top style="thin">
        <color theme="4" tint="-0.249977111117893"/>
      </top>
      <bottom style="medium">
        <color theme="4" tint="-0.249977111117893"/>
      </bottom>
      <diagonal/>
    </border>
    <border>
      <left style="thin">
        <color theme="4" tint="0.39997558519241921"/>
      </left>
      <right style="thin">
        <color theme="4" tint="0.39997558519241921"/>
      </right>
      <top style="thin">
        <color theme="4" tint="-0.249977111117893"/>
      </top>
      <bottom style="medium">
        <color theme="4" tint="-0.249977111117893"/>
      </bottom>
      <diagonal/>
    </border>
    <border>
      <left style="medium">
        <color rgb="FF9CC2E5"/>
      </left>
      <right/>
      <top style="medium">
        <color rgb="FF9CC2E5"/>
      </top>
      <bottom style="medium">
        <color rgb="FF9CC2E5"/>
      </bottom>
      <diagonal/>
    </border>
    <border>
      <left/>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9CC2E5"/>
      </left>
      <right/>
      <top/>
      <bottom style="medium">
        <color rgb="FF9CC2E5"/>
      </bottom>
      <diagonal/>
    </border>
    <border>
      <left/>
      <right/>
      <top/>
      <bottom style="medium">
        <color rgb="FF9CC2E5"/>
      </bottom>
      <diagonal/>
    </border>
    <border>
      <left/>
      <right style="medium">
        <color rgb="FF9CC2E5"/>
      </right>
      <top/>
      <bottom style="medium">
        <color rgb="FF9CC2E5"/>
      </bottom>
      <diagonal/>
    </border>
    <border>
      <left/>
      <right/>
      <top style="thin">
        <color indexed="64"/>
      </top>
      <bottom style="medium">
        <color indexed="64"/>
      </bottom>
      <diagonal/>
    </border>
    <border>
      <left/>
      <right/>
      <top/>
      <bottom style="double">
        <color indexed="64"/>
      </bottom>
      <diagonal/>
    </border>
    <border>
      <left/>
      <right style="thin">
        <color theme="5" tint="-0.249977111117893"/>
      </right>
      <top/>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double">
        <color indexed="64"/>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219">
    <xf numFmtId="0" fontId="0" fillId="0" borderId="0"/>
    <xf numFmtId="43" fontId="43" fillId="0" borderId="0" applyFont="0" applyFill="0" applyBorder="0" applyAlignment="0" applyProtection="0"/>
    <xf numFmtId="9" fontId="43" fillId="0" borderId="0" applyFont="0" applyFill="0" applyBorder="0" applyAlignment="0" applyProtection="0"/>
    <xf numFmtId="0" fontId="36" fillId="0" borderId="0"/>
    <xf numFmtId="9" fontId="41" fillId="0" borderId="0" applyFon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0" fontId="44" fillId="0" borderId="0"/>
    <xf numFmtId="43" fontId="41" fillId="0" borderId="0" applyFont="0" applyFill="0" applyBorder="0" applyAlignment="0" applyProtection="0"/>
    <xf numFmtId="9" fontId="41" fillId="0" borderId="0" applyFont="0" applyFill="0" applyBorder="0" applyAlignment="0" applyProtection="0"/>
    <xf numFmtId="0" fontId="44" fillId="0" borderId="0"/>
    <xf numFmtId="43" fontId="44" fillId="0" borderId="0" applyFont="0" applyFill="0" applyBorder="0" applyAlignment="0" applyProtection="0"/>
    <xf numFmtId="43" fontId="41" fillId="0" borderId="0" applyFont="0" applyFill="0" applyBorder="0" applyAlignment="0" applyProtection="0"/>
    <xf numFmtId="0" fontId="35" fillId="0" borderId="0"/>
    <xf numFmtId="9" fontId="44" fillId="0" borderId="0" applyFont="0" applyFill="0" applyBorder="0" applyAlignment="0" applyProtection="0"/>
    <xf numFmtId="43" fontId="41" fillId="0" borderId="0" applyFont="0" applyFill="0" applyBorder="0" applyAlignment="0" applyProtection="0"/>
    <xf numFmtId="0" fontId="41" fillId="0" borderId="0"/>
    <xf numFmtId="43" fontId="41" fillId="0" borderId="0" applyFont="0" applyFill="0" applyBorder="0" applyAlignment="0" applyProtection="0"/>
    <xf numFmtId="0" fontId="47" fillId="0" borderId="0"/>
    <xf numFmtId="43" fontId="43" fillId="0" borderId="0" applyFont="0" applyFill="0" applyBorder="0" applyAlignment="0" applyProtection="0"/>
    <xf numFmtId="43" fontId="41" fillId="0" borderId="0" applyFont="0" applyFill="0" applyBorder="0" applyAlignment="0" applyProtection="0"/>
    <xf numFmtId="166" fontId="43" fillId="0" borderId="0" applyFont="0" applyFill="0" applyBorder="0" applyAlignment="0" applyProtection="0"/>
    <xf numFmtId="43" fontId="41" fillId="0" borderId="0" applyFont="0" applyFill="0" applyBorder="0" applyAlignment="0" applyProtection="0"/>
    <xf numFmtId="43" fontId="82" fillId="0" borderId="0" applyFont="0" applyFill="0" applyBorder="0" applyAlignment="0" applyProtection="0"/>
    <xf numFmtId="43" fontId="35" fillId="0" borderId="0" applyFont="0" applyFill="0" applyBorder="0" applyAlignment="0" applyProtection="0"/>
    <xf numFmtId="43" fontId="41" fillId="0" borderId="0" applyFont="0" applyFill="0" applyBorder="0" applyAlignment="0" applyProtection="0"/>
    <xf numFmtId="0" fontId="35" fillId="0" borderId="0"/>
    <xf numFmtId="0" fontId="85" fillId="2" borderId="0" applyNumberFormat="0" applyBorder="0" applyAlignment="0" applyProtection="0"/>
    <xf numFmtId="0" fontId="44" fillId="0" borderId="0"/>
    <xf numFmtId="43" fontId="44" fillId="0" borderId="0" applyFont="0" applyFill="0" applyBorder="0" applyAlignment="0" applyProtection="0"/>
    <xf numFmtId="43" fontId="44" fillId="0" borderId="0" applyFont="0" applyFill="0" applyBorder="0" applyAlignment="0" applyProtection="0"/>
    <xf numFmtId="9" fontId="44" fillId="0" borderId="0" applyFont="0" applyFill="0" applyBorder="0" applyAlignment="0" applyProtection="0"/>
    <xf numFmtId="0" fontId="34" fillId="0" borderId="0"/>
    <xf numFmtId="0" fontId="33" fillId="0" borderId="0"/>
    <xf numFmtId="9" fontId="33" fillId="0" borderId="0" applyFont="0" applyFill="0" applyBorder="0" applyAlignment="0" applyProtection="0"/>
    <xf numFmtId="0" fontId="33" fillId="0" borderId="0"/>
    <xf numFmtId="43" fontId="41" fillId="0" borderId="0" applyFont="0" applyFill="0" applyBorder="0" applyAlignment="0" applyProtection="0"/>
    <xf numFmtId="0" fontId="41" fillId="0" borderId="0"/>
    <xf numFmtId="0" fontId="41" fillId="0" borderId="0"/>
    <xf numFmtId="43" fontId="33" fillId="0" borderId="0" applyFont="0" applyFill="0" applyBorder="0" applyAlignment="0" applyProtection="0"/>
    <xf numFmtId="0" fontId="87" fillId="0" borderId="0"/>
    <xf numFmtId="0" fontId="96" fillId="0" borderId="0" applyNumberFormat="0" applyFill="0" applyBorder="0" applyAlignment="0" applyProtection="0"/>
    <xf numFmtId="0" fontId="44" fillId="0" borderId="0" applyNumberFormat="0" applyFill="0" applyBorder="0" applyAlignment="0" applyProtection="0"/>
    <xf numFmtId="0" fontId="32" fillId="0" borderId="0"/>
    <xf numFmtId="0" fontId="32" fillId="0" borderId="0"/>
    <xf numFmtId="0" fontId="41" fillId="0" borderId="0"/>
    <xf numFmtId="0" fontId="41" fillId="0" borderId="0"/>
    <xf numFmtId="0" fontId="44" fillId="0" borderId="0"/>
    <xf numFmtId="0" fontId="31" fillId="0" borderId="0"/>
    <xf numFmtId="43" fontId="31" fillId="0" borderId="0" applyFont="0" applyFill="0" applyBorder="0" applyAlignment="0" applyProtection="0"/>
    <xf numFmtId="43" fontId="43" fillId="0" borderId="0" applyFont="0" applyFill="0" applyBorder="0" applyAlignment="0" applyProtection="0"/>
    <xf numFmtId="0" fontId="44" fillId="0" borderId="0"/>
    <xf numFmtId="0" fontId="31" fillId="0" borderId="0"/>
    <xf numFmtId="0" fontId="109" fillId="0" borderId="0"/>
    <xf numFmtId="170" fontId="101" fillId="0" borderId="0"/>
    <xf numFmtId="0" fontId="30" fillId="0" borderId="0"/>
    <xf numFmtId="9" fontId="30" fillId="0" borderId="0" applyFont="0" applyFill="0" applyBorder="0" applyAlignment="0" applyProtection="0"/>
    <xf numFmtId="43" fontId="43" fillId="0" borderId="0" applyFont="0" applyFill="0" applyBorder="0" applyAlignment="0" applyProtection="0"/>
    <xf numFmtId="43" fontId="82" fillId="0" borderId="0" applyFont="0" applyFill="0" applyBorder="0" applyAlignment="0" applyProtection="0"/>
    <xf numFmtId="43" fontId="30"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0" fontId="28" fillId="0" borderId="0"/>
    <xf numFmtId="0" fontId="26" fillId="0" borderId="0"/>
    <xf numFmtId="43" fontId="26" fillId="0" borderId="0" applyFont="0" applyFill="0" applyBorder="0" applyAlignment="0" applyProtection="0"/>
    <xf numFmtId="171" fontId="101" fillId="0" borderId="0" applyBorder="0" applyProtection="0"/>
    <xf numFmtId="172" fontId="101" fillId="0" borderId="0" applyBorder="0" applyProtection="0"/>
    <xf numFmtId="0" fontId="4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4" fillId="0" borderId="0"/>
    <xf numFmtId="43" fontId="24" fillId="0" borderId="0" applyFont="0" applyFill="0" applyBorder="0" applyAlignment="0" applyProtection="0"/>
    <xf numFmtId="0" fontId="132" fillId="0" borderId="0"/>
    <xf numFmtId="0" fontId="23" fillId="0" borderId="0"/>
    <xf numFmtId="43" fontId="23" fillId="0" borderId="0" applyFont="0" applyFill="0" applyBorder="0" applyAlignment="0" applyProtection="0"/>
    <xf numFmtId="165" fontId="23" fillId="0" borderId="0" applyFont="0" applyFill="0" applyBorder="0" applyAlignment="0" applyProtection="0"/>
    <xf numFmtId="9" fontId="23" fillId="0" borderId="0" applyFont="0" applyFill="0" applyBorder="0" applyAlignment="0" applyProtection="0"/>
    <xf numFmtId="43" fontId="43" fillId="0" borderId="0" applyFont="0" applyFill="0" applyBorder="0" applyAlignment="0" applyProtection="0"/>
    <xf numFmtId="0" fontId="22" fillId="0" borderId="0"/>
    <xf numFmtId="0" fontId="20" fillId="0" borderId="0"/>
    <xf numFmtId="0" fontId="19" fillId="0" borderId="0"/>
    <xf numFmtId="0" fontId="144" fillId="0" borderId="0" applyNumberFormat="0" applyProtection="0">
      <alignment vertical="top"/>
    </xf>
    <xf numFmtId="0" fontId="109" fillId="0" borderId="0"/>
    <xf numFmtId="43" fontId="19" fillId="0" borderId="0" applyFont="0" applyFill="0" applyBorder="0" applyAlignment="0" applyProtection="0"/>
    <xf numFmtId="0" fontId="19" fillId="0" borderId="0"/>
    <xf numFmtId="0" fontId="18" fillId="0" borderId="0"/>
    <xf numFmtId="0" fontId="17" fillId="0" borderId="0"/>
    <xf numFmtId="0" fontId="145" fillId="0" borderId="0" applyNumberFormat="0" applyFill="0" applyBorder="0" applyAlignment="0" applyProtection="0"/>
    <xf numFmtId="0" fontId="146" fillId="0" borderId="0"/>
    <xf numFmtId="0" fontId="16" fillId="0" borderId="0"/>
    <xf numFmtId="0" fontId="16" fillId="0" borderId="0"/>
    <xf numFmtId="9" fontId="44" fillId="0" borderId="0" applyFont="0" applyFill="0" applyBorder="0" applyAlignment="0" applyProtection="0"/>
    <xf numFmtId="0" fontId="15" fillId="0" borderId="0"/>
    <xf numFmtId="0" fontId="44" fillId="0" borderId="0"/>
    <xf numFmtId="43" fontId="44" fillId="0" borderId="0" applyFont="0" applyFill="0" applyBorder="0" applyAlignment="0" applyProtection="0"/>
    <xf numFmtId="43" fontId="15" fillId="0" borderId="0" applyFont="0" applyFill="0" applyBorder="0" applyAlignment="0" applyProtection="0"/>
    <xf numFmtId="0" fontId="43" fillId="0" borderId="0"/>
    <xf numFmtId="0" fontId="150" fillId="0" borderId="0" applyNumberFormat="0" applyFill="0" applyBorder="0" applyAlignment="0" applyProtection="0"/>
    <xf numFmtId="0" fontId="151" fillId="0" borderId="59" applyNumberFormat="0" applyFill="0" applyAlignment="0" applyProtection="0"/>
    <xf numFmtId="0" fontId="152" fillId="0" borderId="60" applyNumberFormat="0" applyFill="0" applyAlignment="0" applyProtection="0"/>
    <xf numFmtId="0" fontId="153" fillId="0" borderId="61" applyNumberFormat="0" applyFill="0" applyAlignment="0" applyProtection="0"/>
    <xf numFmtId="0" fontId="153" fillId="0" borderId="0" applyNumberFormat="0" applyFill="0" applyBorder="0" applyAlignment="0" applyProtection="0"/>
    <xf numFmtId="0" fontId="154" fillId="2" borderId="0" applyNumberFormat="0" applyBorder="0" applyAlignment="0" applyProtection="0"/>
    <xf numFmtId="0" fontId="155" fillId="26" borderId="0" applyNumberFormat="0" applyBorder="0" applyAlignment="0" applyProtection="0"/>
    <xf numFmtId="0" fontId="156" fillId="27" borderId="0" applyNumberFormat="0" applyBorder="0" applyAlignment="0" applyProtection="0"/>
    <xf numFmtId="0" fontId="157" fillId="28" borderId="62" applyNumberFormat="0" applyAlignment="0" applyProtection="0"/>
    <xf numFmtId="0" fontId="158" fillId="29" borderId="63" applyNumberFormat="0" applyAlignment="0" applyProtection="0"/>
    <xf numFmtId="0" fontId="159" fillId="29" borderId="62" applyNumberFormat="0" applyAlignment="0" applyProtection="0"/>
    <xf numFmtId="0" fontId="160" fillId="0" borderId="64" applyNumberFormat="0" applyFill="0" applyAlignment="0" applyProtection="0"/>
    <xf numFmtId="0" fontId="161" fillId="30" borderId="65" applyNumberFormat="0" applyAlignment="0" applyProtection="0"/>
    <xf numFmtId="0" fontId="37" fillId="0" borderId="0" applyNumberFormat="0" applyFill="0" applyBorder="0" applyAlignment="0" applyProtection="0"/>
    <xf numFmtId="0" fontId="162" fillId="0" borderId="0" applyNumberFormat="0" applyFill="0" applyBorder="0" applyAlignment="0" applyProtection="0"/>
    <xf numFmtId="0" fontId="92" fillId="0" borderId="67" applyNumberFormat="0" applyFill="0" applyAlignment="0" applyProtection="0"/>
    <xf numFmtId="0" fontId="163"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63" fillId="35" borderId="0" applyNumberFormat="0" applyBorder="0" applyAlignment="0" applyProtection="0"/>
    <xf numFmtId="0" fontId="163"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63" fillId="39" borderId="0" applyNumberFormat="0" applyBorder="0" applyAlignment="0" applyProtection="0"/>
    <xf numFmtId="0" fontId="163"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63" fillId="43" borderId="0" applyNumberFormat="0" applyBorder="0" applyAlignment="0" applyProtection="0"/>
    <xf numFmtId="0" fontId="163" fillId="44"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63" fillId="47" borderId="0" applyNumberFormat="0" applyBorder="0" applyAlignment="0" applyProtection="0"/>
    <xf numFmtId="0" fontId="163" fillId="48"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63" fillId="51" borderId="0" applyNumberFormat="0" applyBorder="0" applyAlignment="0" applyProtection="0"/>
    <xf numFmtId="0" fontId="163" fillId="52"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63" fillId="55" borderId="0" applyNumberFormat="0" applyBorder="0" applyAlignment="0" applyProtection="0"/>
    <xf numFmtId="0" fontId="14" fillId="0" borderId="0"/>
    <xf numFmtId="0" fontId="14" fillId="31" borderId="66" applyNumberFormat="0" applyFont="0" applyAlignment="0" applyProtection="0"/>
    <xf numFmtId="0" fontId="13" fillId="0" borderId="0"/>
    <xf numFmtId="43" fontId="13" fillId="0" borderId="0" applyFont="0" applyFill="0" applyBorder="0" applyAlignment="0" applyProtection="0"/>
    <xf numFmtId="43" fontId="146" fillId="0" borderId="0" applyFont="0" applyFill="0" applyBorder="0" applyAlignment="0" applyProtection="0"/>
    <xf numFmtId="0" fontId="12" fillId="0" borderId="0"/>
    <xf numFmtId="0" fontId="12" fillId="31" borderId="66"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41" borderId="0" applyNumberFormat="0" applyBorder="0" applyAlignment="0" applyProtection="0"/>
    <xf numFmtId="0" fontId="12" fillId="42"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75" fillId="0" borderId="0" pivotButton="1"/>
    <xf numFmtId="43" fontId="75" fillId="0" borderId="0" applyFont="0" applyFill="0" applyBorder="0" applyAlignment="0" applyProtection="0"/>
    <xf numFmtId="0" fontId="146" fillId="0" borderId="0"/>
    <xf numFmtId="0" fontId="142" fillId="0" borderId="0"/>
    <xf numFmtId="0" fontId="44" fillId="0" borderId="0"/>
    <xf numFmtId="43" fontId="44" fillId="0" borderId="0" applyFont="0" applyFill="0" applyBorder="0" applyAlignment="0" applyProtection="0"/>
    <xf numFmtId="0" fontId="11" fillId="0" borderId="0"/>
    <xf numFmtId="0" fontId="44" fillId="0" borderId="0" applyBorder="0"/>
    <xf numFmtId="0" fontId="11" fillId="0" borderId="0"/>
    <xf numFmtId="0" fontId="167" fillId="0" borderId="0"/>
    <xf numFmtId="0" fontId="43" fillId="0" borderId="0"/>
    <xf numFmtId="9" fontId="43" fillId="0" borderId="0" applyFont="0" applyFill="0" applyBorder="0" applyAlignment="0" applyProtection="0"/>
    <xf numFmtId="0" fontId="10" fillId="0" borderId="0"/>
    <xf numFmtId="0" fontId="181" fillId="0" borderId="0" applyNumberFormat="0" applyFill="0" applyBorder="0" applyAlignment="0" applyProtection="0"/>
    <xf numFmtId="0" fontId="9" fillId="0" borderId="0"/>
    <xf numFmtId="0" fontId="8" fillId="0" borderId="0"/>
    <xf numFmtId="0" fontId="191" fillId="27" borderId="0" applyNumberFormat="0" applyBorder="0" applyAlignment="0" applyProtection="0"/>
    <xf numFmtId="0" fontId="8" fillId="31" borderId="66" applyNumberFormat="0" applyFont="0" applyAlignment="0" applyProtection="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5"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7" fillId="0" borderId="0"/>
    <xf numFmtId="0" fontId="44" fillId="0" borderId="0" applyNumberFormat="0"/>
    <xf numFmtId="0" fontId="209" fillId="0" borderId="0" applyNumberFormat="0" applyFill="0" applyBorder="0" applyAlignment="0" applyProtection="0">
      <alignment vertical="top"/>
      <protection locked="0"/>
    </xf>
    <xf numFmtId="0" fontId="6" fillId="0" borderId="0"/>
    <xf numFmtId="0" fontId="6" fillId="0" borderId="0"/>
    <xf numFmtId="0" fontId="5" fillId="0" borderId="0"/>
    <xf numFmtId="43" fontId="5" fillId="0" borderId="0" applyFont="0" applyFill="0" applyBorder="0" applyAlignment="0" applyProtection="0"/>
    <xf numFmtId="0" fontId="3" fillId="0" borderId="0"/>
    <xf numFmtId="0" fontId="3" fillId="0" borderId="0"/>
    <xf numFmtId="0" fontId="211" fillId="0" borderId="0">
      <alignment horizontal="left" wrapText="1"/>
    </xf>
    <xf numFmtId="0" fontId="257" fillId="0" borderId="0">
      <alignment horizontal="right"/>
    </xf>
    <xf numFmtId="0" fontId="147" fillId="0" borderId="0">
      <alignment horizontal="left" wrapText="1"/>
    </xf>
    <xf numFmtId="0" fontId="258" fillId="0" borderId="0">
      <alignment vertical="top" wrapText="1"/>
    </xf>
    <xf numFmtId="0" fontId="182" fillId="0" borderId="0">
      <alignment horizontal="right" indent="1"/>
    </xf>
    <xf numFmtId="14" fontId="147" fillId="0" borderId="0" applyFont="0" applyFill="0" applyBorder="0" applyAlignment="0" applyProtection="0">
      <alignment horizontal="left"/>
    </xf>
    <xf numFmtId="173" fontId="147" fillId="0" borderId="0" applyFont="0" applyFill="0" applyBorder="0" applyProtection="0">
      <alignment horizontal="left" vertical="top" wrapText="1"/>
    </xf>
    <xf numFmtId="0" fontId="182" fillId="0" borderId="0">
      <alignment horizontal="left" vertical="top"/>
    </xf>
    <xf numFmtId="0" fontId="259" fillId="0" borderId="0">
      <alignment horizontal="right" indent="1"/>
    </xf>
    <xf numFmtId="0" fontId="147" fillId="0" borderId="0">
      <alignment horizontal="left" vertical="top" wrapText="1"/>
    </xf>
    <xf numFmtId="174" fontId="147" fillId="0" borderId="0" applyFont="0" applyFill="0" applyBorder="0" applyProtection="0">
      <alignment horizontal="right"/>
    </xf>
    <xf numFmtId="0" fontId="182" fillId="0" borderId="0">
      <alignment horizontal="center" wrapText="1"/>
    </xf>
    <xf numFmtId="0" fontId="1" fillId="0" borderId="0"/>
    <xf numFmtId="43" fontId="1" fillId="0" borderId="0" applyFont="0" applyFill="0" applyBorder="0" applyAlignment="0" applyProtection="0"/>
  </cellStyleXfs>
  <cellXfs count="1642">
    <xf numFmtId="0" fontId="0" fillId="0" borderId="0" xfId="0"/>
    <xf numFmtId="3" fontId="40" fillId="3" borderId="11" xfId="3" applyNumberFormat="1" applyFont="1" applyFill="1" applyBorder="1"/>
    <xf numFmtId="0" fontId="46" fillId="0" borderId="3" xfId="7" applyFont="1" applyBorder="1" applyAlignment="1">
      <alignment horizontal="center" vertical="center" wrapText="1"/>
    </xf>
    <xf numFmtId="0" fontId="54" fillId="0" borderId="0" xfId="10" applyFont="1"/>
    <xf numFmtId="0" fontId="54" fillId="0" borderId="0" xfId="10" applyFont="1" applyAlignment="1">
      <alignment horizontal="right"/>
    </xf>
    <xf numFmtId="167" fontId="54" fillId="0" borderId="0" xfId="11" applyNumberFormat="1" applyFont="1" applyFill="1"/>
    <xf numFmtId="167" fontId="55" fillId="0" borderId="0" xfId="11" applyNumberFormat="1" applyFont="1" applyFill="1"/>
    <xf numFmtId="0" fontId="55" fillId="0" borderId="0" xfId="10" applyFont="1"/>
    <xf numFmtId="167" fontId="54" fillId="0" borderId="0" xfId="12" applyNumberFormat="1" applyFont="1" applyFill="1"/>
    <xf numFmtId="0" fontId="56" fillId="0" borderId="0" xfId="10" applyFont="1"/>
    <xf numFmtId="167" fontId="55" fillId="0" borderId="0" xfId="11" applyNumberFormat="1" applyFont="1"/>
    <xf numFmtId="167" fontId="54" fillId="0" borderId="0" xfId="11" applyNumberFormat="1" applyFont="1"/>
    <xf numFmtId="0" fontId="60" fillId="0" borderId="0" xfId="10" applyFont="1"/>
    <xf numFmtId="0" fontId="56" fillId="0" borderId="0" xfId="10" applyFont="1" applyAlignment="1">
      <alignment horizontal="right"/>
    </xf>
    <xf numFmtId="0" fontId="61" fillId="0" borderId="2" xfId="10" applyFont="1" applyBorder="1" applyAlignment="1">
      <alignment horizontal="center" vertical="center" wrapText="1"/>
    </xf>
    <xf numFmtId="167" fontId="61" fillId="0" borderId="4" xfId="11" applyNumberFormat="1" applyFont="1" applyBorder="1" applyAlignment="1">
      <alignment horizontal="center" vertical="center" wrapText="1"/>
    </xf>
    <xf numFmtId="167" fontId="56" fillId="0" borderId="3" xfId="12" applyNumberFormat="1" applyFont="1" applyBorder="1" applyAlignment="1">
      <alignment horizontal="center" vertical="center" wrapText="1"/>
    </xf>
    <xf numFmtId="167" fontId="56" fillId="0" borderId="3" xfId="11" applyNumberFormat="1" applyFont="1" applyBorder="1" applyAlignment="1">
      <alignment horizontal="center" vertical="center" wrapText="1"/>
    </xf>
    <xf numFmtId="0" fontId="61" fillId="0" borderId="21" xfId="10" applyFont="1" applyBorder="1" applyAlignment="1">
      <alignment horizontal="center" vertical="center" wrapText="1"/>
    </xf>
    <xf numFmtId="0" fontId="61" fillId="0" borderId="3" xfId="10" applyFont="1" applyBorder="1" applyAlignment="1">
      <alignment horizontal="center" vertical="center" wrapText="1"/>
    </xf>
    <xf numFmtId="0" fontId="54" fillId="0" borderId="0" xfId="10" applyFont="1" applyAlignment="1">
      <alignment wrapText="1"/>
    </xf>
    <xf numFmtId="0" fontId="63" fillId="0" borderId="24" xfId="10" applyFont="1" applyBorder="1" applyAlignment="1">
      <alignment vertical="center"/>
    </xf>
    <xf numFmtId="0" fontId="63" fillId="0" borderId="22" xfId="10" applyFont="1" applyBorder="1" applyAlignment="1">
      <alignment horizontal="center" vertical="center"/>
    </xf>
    <xf numFmtId="167" fontId="63" fillId="0" borderId="22" xfId="11" applyNumberFormat="1" applyFont="1" applyFill="1" applyBorder="1" applyAlignment="1">
      <alignment horizontal="center" vertical="center"/>
    </xf>
    <xf numFmtId="169" fontId="63" fillId="0" borderId="22" xfId="14" applyNumberFormat="1" applyFont="1" applyFill="1" applyBorder="1" applyAlignment="1">
      <alignment horizontal="center" vertical="center"/>
    </xf>
    <xf numFmtId="3" fontId="61" fillId="0" borderId="25" xfId="10" applyNumberFormat="1" applyFont="1" applyBorder="1" applyAlignment="1">
      <alignment vertical="center"/>
    </xf>
    <xf numFmtId="0" fontId="54" fillId="0" borderId="0" xfId="10" applyFont="1" applyAlignment="1">
      <alignment vertical="center"/>
    </xf>
    <xf numFmtId="0" fontId="63" fillId="0" borderId="26" xfId="10" applyFont="1" applyBorder="1" applyAlignment="1">
      <alignment vertical="center"/>
    </xf>
    <xf numFmtId="0" fontId="63" fillId="0" borderId="16" xfId="10" applyFont="1" applyBorder="1" applyAlignment="1">
      <alignment horizontal="center" vertical="center"/>
    </xf>
    <xf numFmtId="167" fontId="63" fillId="0" borderId="16" xfId="11" applyNumberFormat="1" applyFont="1" applyFill="1" applyBorder="1" applyAlignment="1">
      <alignment horizontal="center" vertical="center"/>
    </xf>
    <xf numFmtId="0" fontId="63" fillId="0" borderId="26" xfId="10" applyFont="1" applyBorder="1" applyAlignment="1">
      <alignment horizontal="center" vertical="center"/>
    </xf>
    <xf numFmtId="167" fontId="63" fillId="0" borderId="16" xfId="12" applyNumberFormat="1" applyFont="1" applyFill="1" applyBorder="1" applyAlignment="1">
      <alignment horizontal="center" vertical="center"/>
    </xf>
    <xf numFmtId="3" fontId="61" fillId="0" borderId="27" xfId="10" applyNumberFormat="1" applyFont="1" applyBorder="1" applyAlignment="1">
      <alignment vertical="center"/>
    </xf>
    <xf numFmtId="0" fontId="63" fillId="0" borderId="15" xfId="10" applyFont="1" applyBorder="1" applyAlignment="1">
      <alignment horizontal="center" vertical="center"/>
    </xf>
    <xf numFmtId="3" fontId="61" fillId="0" borderId="27" xfId="10" applyNumberFormat="1" applyFont="1" applyBorder="1" applyAlignment="1">
      <alignment horizontal="right" vertical="center"/>
    </xf>
    <xf numFmtId="0" fontId="63" fillId="0" borderId="32" xfId="10" applyFont="1" applyBorder="1" applyAlignment="1">
      <alignment horizontal="center" vertical="center"/>
    </xf>
    <xf numFmtId="14" fontId="63" fillId="0" borderId="24" xfId="10" applyNumberFormat="1" applyFont="1" applyBorder="1" applyAlignment="1">
      <alignment horizontal="right" vertical="center"/>
    </xf>
    <xf numFmtId="167" fontId="63" fillId="0" borderId="32" xfId="11" applyNumberFormat="1" applyFont="1" applyFill="1" applyBorder="1" applyAlignment="1">
      <alignment horizontal="center" vertical="center"/>
    </xf>
    <xf numFmtId="14" fontId="63" fillId="0" borderId="32" xfId="10" applyNumberFormat="1" applyFont="1" applyBorder="1" applyAlignment="1">
      <alignment horizontal="center" vertical="center"/>
    </xf>
    <xf numFmtId="10" fontId="63" fillId="0" borderId="32" xfId="10" applyNumberFormat="1" applyFont="1" applyBorder="1" applyAlignment="1">
      <alignment horizontal="center" vertical="center"/>
    </xf>
    <xf numFmtId="0" fontId="63" fillId="0" borderId="26" xfId="10" applyFont="1" applyBorder="1" applyAlignment="1">
      <alignment horizontal="right" vertical="center"/>
    </xf>
    <xf numFmtId="167" fontId="63" fillId="0" borderId="16" xfId="11" applyNumberFormat="1" applyFont="1" applyBorder="1" applyAlignment="1">
      <alignment horizontal="center" vertical="center"/>
    </xf>
    <xf numFmtId="0" fontId="56" fillId="0" borderId="0" xfId="10" applyFont="1" applyAlignment="1">
      <alignment vertical="center"/>
    </xf>
    <xf numFmtId="0" fontId="63" fillId="0" borderId="38" xfId="10" applyFont="1" applyBorder="1" applyAlignment="1">
      <alignment vertical="center"/>
    </xf>
    <xf numFmtId="14" fontId="63" fillId="0" borderId="38" xfId="10" applyNumberFormat="1" applyFont="1" applyBorder="1" applyAlignment="1">
      <alignment horizontal="right" vertical="center"/>
    </xf>
    <xf numFmtId="14" fontId="63" fillId="0" borderId="38" xfId="10" applyNumberFormat="1" applyFont="1" applyBorder="1" applyAlignment="1">
      <alignment horizontal="center" vertical="center"/>
    </xf>
    <xf numFmtId="167" fontId="64" fillId="0" borderId="39" xfId="11" applyNumberFormat="1" applyFont="1" applyFill="1" applyBorder="1" applyAlignment="1">
      <alignment horizontal="center" vertical="center"/>
    </xf>
    <xf numFmtId="0" fontId="63" fillId="0" borderId="39" xfId="10" applyFont="1" applyBorder="1" applyAlignment="1">
      <alignment horizontal="center" vertical="center"/>
    </xf>
    <xf numFmtId="3" fontId="61" fillId="0" borderId="40" xfId="10" applyNumberFormat="1" applyFont="1" applyBorder="1" applyAlignment="1">
      <alignment vertical="center"/>
    </xf>
    <xf numFmtId="0" fontId="63" fillId="0" borderId="41" xfId="10" applyFont="1" applyBorder="1" applyAlignment="1">
      <alignment horizontal="center" vertical="center"/>
    </xf>
    <xf numFmtId="3" fontId="61" fillId="0" borderId="29" xfId="10" applyNumberFormat="1" applyFont="1" applyBorder="1" applyAlignment="1">
      <alignment horizontal="right" vertical="center"/>
    </xf>
    <xf numFmtId="14" fontId="63" fillId="0" borderId="24" xfId="10" applyNumberFormat="1" applyFont="1" applyBorder="1" applyAlignment="1">
      <alignment horizontal="center" vertical="center"/>
    </xf>
    <xf numFmtId="14" fontId="63" fillId="0" borderId="39" xfId="10" applyNumberFormat="1" applyFont="1" applyBorder="1" applyAlignment="1">
      <alignment horizontal="center" vertical="center"/>
    </xf>
    <xf numFmtId="10" fontId="63" fillId="0" borderId="39" xfId="10" applyNumberFormat="1" applyFont="1" applyBorder="1" applyAlignment="1">
      <alignment horizontal="center" vertical="center"/>
    </xf>
    <xf numFmtId="167" fontId="63" fillId="0" borderId="39" xfId="12" applyNumberFormat="1" applyFont="1" applyFill="1" applyBorder="1" applyAlignment="1">
      <alignment horizontal="center" vertical="center"/>
    </xf>
    <xf numFmtId="167" fontId="63" fillId="0" borderId="39" xfId="11" applyNumberFormat="1" applyFont="1" applyFill="1" applyBorder="1" applyAlignment="1">
      <alignment horizontal="center" vertical="center"/>
    </xf>
    <xf numFmtId="0" fontId="63" fillId="0" borderId="38" xfId="10" applyFont="1" applyBorder="1" applyAlignment="1">
      <alignment horizontal="right" vertical="center"/>
    </xf>
    <xf numFmtId="3" fontId="61" fillId="0" borderId="25" xfId="10" applyNumberFormat="1" applyFont="1" applyBorder="1" applyAlignment="1">
      <alignment horizontal="right" vertical="center"/>
    </xf>
    <xf numFmtId="169" fontId="63" fillId="0" borderId="32" xfId="14" applyNumberFormat="1" applyFont="1" applyFill="1" applyBorder="1" applyAlignment="1">
      <alignment horizontal="center" vertical="center"/>
    </xf>
    <xf numFmtId="167" fontId="63" fillId="0" borderId="32" xfId="12" applyNumberFormat="1" applyFont="1" applyFill="1" applyBorder="1" applyAlignment="1">
      <alignment horizontal="center" vertical="center"/>
    </xf>
    <xf numFmtId="0" fontId="63" fillId="0" borderId="33" xfId="10" applyFont="1" applyBorder="1" applyAlignment="1">
      <alignment horizontal="center" vertical="center"/>
    </xf>
    <xf numFmtId="167" fontId="63" fillId="0" borderId="0" xfId="11" applyNumberFormat="1" applyFont="1" applyFill="1" applyBorder="1" applyAlignment="1">
      <alignment horizontal="center" vertical="center"/>
    </xf>
    <xf numFmtId="0" fontId="61" fillId="0" borderId="23" xfId="10" applyFont="1" applyBorder="1" applyAlignment="1">
      <alignment vertical="center"/>
    </xf>
    <xf numFmtId="3" fontId="61" fillId="0" borderId="0" xfId="10" applyNumberFormat="1" applyFont="1" applyAlignment="1">
      <alignment vertical="center"/>
    </xf>
    <xf numFmtId="0" fontId="63" fillId="0" borderId="0" xfId="10" applyFont="1" applyAlignment="1">
      <alignment vertical="center"/>
    </xf>
    <xf numFmtId="0" fontId="63" fillId="0" borderId="0" xfId="10" applyFont="1" applyAlignment="1">
      <alignment horizontal="center" vertical="center"/>
    </xf>
    <xf numFmtId="0" fontId="63" fillId="0" borderId="0" xfId="10" applyFont="1" applyAlignment="1">
      <alignment horizontal="right" vertical="center"/>
    </xf>
    <xf numFmtId="167" fontId="64" fillId="0" borderId="0" xfId="11" applyNumberFormat="1" applyFont="1" applyBorder="1" applyAlignment="1">
      <alignment horizontal="center" vertical="center"/>
    </xf>
    <xf numFmtId="167" fontId="63" fillId="0" borderId="0" xfId="11" applyNumberFormat="1" applyFont="1" applyBorder="1" applyAlignment="1">
      <alignment horizontal="center" vertical="center"/>
    </xf>
    <xf numFmtId="3" fontId="61" fillId="0" borderId="0" xfId="10" applyNumberFormat="1" applyFont="1" applyAlignment="1">
      <alignment horizontal="right" vertical="center"/>
    </xf>
    <xf numFmtId="0" fontId="63" fillId="0" borderId="30" xfId="10" applyFont="1" applyBorder="1" applyAlignment="1">
      <alignment vertical="center"/>
    </xf>
    <xf numFmtId="0" fontId="63" fillId="0" borderId="30" xfId="10" applyFont="1" applyBorder="1" applyAlignment="1">
      <alignment horizontal="center" vertical="center"/>
    </xf>
    <xf numFmtId="0" fontId="63" fillId="0" borderId="30" xfId="10" applyFont="1" applyBorder="1" applyAlignment="1">
      <alignment horizontal="right" vertical="center"/>
    </xf>
    <xf numFmtId="167" fontId="64" fillId="0" borderId="30" xfId="11" applyNumberFormat="1" applyFont="1" applyBorder="1" applyAlignment="1">
      <alignment horizontal="center" vertical="center"/>
    </xf>
    <xf numFmtId="167" fontId="63" fillId="0" borderId="30" xfId="11" applyNumberFormat="1" applyFont="1" applyBorder="1" applyAlignment="1">
      <alignment horizontal="center" vertical="center"/>
    </xf>
    <xf numFmtId="3" fontId="61" fillId="0" borderId="30" xfId="10" applyNumberFormat="1" applyFont="1" applyBorder="1" applyAlignment="1">
      <alignment vertical="center"/>
    </xf>
    <xf numFmtId="3" fontId="61" fillId="0" borderId="30" xfId="10" applyNumberFormat="1" applyFont="1" applyBorder="1" applyAlignment="1">
      <alignment horizontal="right" vertical="center"/>
    </xf>
    <xf numFmtId="0" fontId="63" fillId="0" borderId="39" xfId="10" applyFont="1" applyBorder="1" applyAlignment="1">
      <alignment vertical="center"/>
    </xf>
    <xf numFmtId="167" fontId="61" fillId="0" borderId="40" xfId="12" applyNumberFormat="1" applyFont="1" applyBorder="1" applyAlignment="1">
      <alignment horizontal="right" vertical="center"/>
    </xf>
    <xf numFmtId="0" fontId="63" fillId="0" borderId="16" xfId="10" applyFont="1" applyBorder="1" applyAlignment="1">
      <alignment vertical="center"/>
    </xf>
    <xf numFmtId="167" fontId="64" fillId="0" borderId="16" xfId="11" applyNumberFormat="1" applyFont="1" applyBorder="1" applyAlignment="1">
      <alignment horizontal="center" vertical="center"/>
    </xf>
    <xf numFmtId="167" fontId="64" fillId="0" borderId="0" xfId="11" applyNumberFormat="1" applyFont="1" applyAlignment="1">
      <alignment vertical="center"/>
    </xf>
    <xf numFmtId="167" fontId="63" fillId="0" borderId="0" xfId="11" applyNumberFormat="1" applyFont="1" applyAlignment="1">
      <alignment vertical="center"/>
    </xf>
    <xf numFmtId="3" fontId="63" fillId="0" borderId="0" xfId="10" applyNumberFormat="1" applyFont="1" applyAlignment="1">
      <alignment vertical="center"/>
    </xf>
    <xf numFmtId="0" fontId="61" fillId="0" borderId="0" xfId="10" applyFont="1" applyAlignment="1">
      <alignment vertical="center"/>
    </xf>
    <xf numFmtId="0" fontId="61" fillId="0" borderId="14" xfId="10" applyFont="1" applyBorder="1" applyAlignment="1">
      <alignment horizontal="center" vertical="center"/>
    </xf>
    <xf numFmtId="0" fontId="61" fillId="0" borderId="23" xfId="10" applyFont="1" applyBorder="1" applyAlignment="1">
      <alignment horizontal="right" vertical="center"/>
    </xf>
    <xf numFmtId="0" fontId="61" fillId="0" borderId="1" xfId="10" applyFont="1" applyBorder="1" applyAlignment="1">
      <alignment horizontal="center" vertical="center"/>
    </xf>
    <xf numFmtId="167" fontId="62" fillId="0" borderId="14" xfId="11" applyNumberFormat="1" applyFont="1" applyBorder="1" applyAlignment="1">
      <alignment horizontal="center" vertical="center"/>
    </xf>
    <xf numFmtId="167" fontId="61" fillId="0" borderId="14" xfId="11" applyNumberFormat="1" applyFont="1" applyBorder="1" applyAlignment="1">
      <alignment horizontal="center" vertical="center"/>
    </xf>
    <xf numFmtId="3" fontId="61" fillId="0" borderId="2" xfId="10" applyNumberFormat="1" applyFont="1" applyBorder="1" applyAlignment="1">
      <alignment vertical="center"/>
    </xf>
    <xf numFmtId="0" fontId="61" fillId="0" borderId="2" xfId="10" applyFont="1" applyBorder="1" applyAlignment="1">
      <alignment horizontal="center" vertical="center"/>
    </xf>
    <xf numFmtId="3" fontId="54" fillId="0" borderId="0" xfId="10" applyNumberFormat="1" applyFont="1"/>
    <xf numFmtId="3" fontId="56" fillId="0" borderId="0" xfId="10" applyNumberFormat="1" applyFont="1"/>
    <xf numFmtId="0" fontId="67" fillId="0" borderId="0" xfId="10" applyFont="1" applyAlignment="1">
      <alignment vertical="center"/>
    </xf>
    <xf numFmtId="0" fontId="54" fillId="0" borderId="0" xfId="10" applyFont="1" applyAlignment="1">
      <alignment horizontal="left"/>
    </xf>
    <xf numFmtId="0" fontId="56" fillId="0" borderId="30" xfId="10" applyFont="1" applyBorder="1" applyAlignment="1">
      <alignment horizontal="right"/>
    </xf>
    <xf numFmtId="167" fontId="54" fillId="0" borderId="0" xfId="11" applyNumberFormat="1" applyFont="1" applyAlignment="1">
      <alignment horizontal="left"/>
    </xf>
    <xf numFmtId="3" fontId="69" fillId="0" borderId="0" xfId="16" applyNumberFormat="1" applyFont="1"/>
    <xf numFmtId="0" fontId="69" fillId="0" borderId="0" xfId="16" applyFont="1"/>
    <xf numFmtId="0" fontId="70" fillId="0" borderId="0" xfId="16" applyFont="1"/>
    <xf numFmtId="0" fontId="60" fillId="0" borderId="0" xfId="10" applyFont="1" applyAlignment="1">
      <alignment horizontal="right"/>
    </xf>
    <xf numFmtId="167" fontId="60" fillId="0" borderId="0" xfId="11" applyNumberFormat="1" applyFont="1"/>
    <xf numFmtId="0" fontId="71" fillId="0" borderId="0" xfId="10" applyFont="1"/>
    <xf numFmtId="0" fontId="0" fillId="5" borderId="0" xfId="0" applyFill="1"/>
    <xf numFmtId="0" fontId="83" fillId="0" borderId="0" xfId="0" applyFont="1"/>
    <xf numFmtId="0" fontId="53" fillId="0" borderId="0" xfId="0" applyFont="1"/>
    <xf numFmtId="0" fontId="0" fillId="0" borderId="0" xfId="0" applyAlignment="1">
      <alignment wrapText="1"/>
    </xf>
    <xf numFmtId="167" fontId="0" fillId="0" borderId="0" xfId="1" applyNumberFormat="1" applyFont="1"/>
    <xf numFmtId="0" fontId="84" fillId="0" borderId="0" xfId="0" applyFont="1"/>
    <xf numFmtId="0" fontId="90" fillId="0" borderId="0" xfId="0" applyFont="1"/>
    <xf numFmtId="167" fontId="0" fillId="0" borderId="0" xfId="0" applyNumberFormat="1"/>
    <xf numFmtId="0" fontId="42" fillId="0" borderId="1" xfId="43" applyFont="1" applyBorder="1" applyAlignment="1">
      <alignment horizontal="center" vertical="center"/>
    </xf>
    <xf numFmtId="0" fontId="42" fillId="0" borderId="2" xfId="43" applyFont="1" applyBorder="1" applyAlignment="1">
      <alignment horizontal="center" vertical="center" wrapText="1"/>
    </xf>
    <xf numFmtId="0" fontId="42" fillId="3" borderId="6" xfId="43" applyFont="1" applyFill="1" applyBorder="1"/>
    <xf numFmtId="0" fontId="42" fillId="3" borderId="7" xfId="43" applyFont="1" applyFill="1" applyBorder="1" applyAlignment="1">
      <alignment wrapText="1"/>
    </xf>
    <xf numFmtId="3" fontId="42" fillId="3" borderId="8" xfId="43" applyNumberFormat="1" applyFont="1" applyFill="1" applyBorder="1"/>
    <xf numFmtId="0" fontId="42" fillId="4" borderId="6" xfId="43" quotePrefix="1" applyFont="1" applyFill="1" applyBorder="1"/>
    <xf numFmtId="0" fontId="42" fillId="4" borderId="7" xfId="43" applyFont="1" applyFill="1" applyBorder="1" applyAlignment="1">
      <alignment wrapText="1"/>
    </xf>
    <xf numFmtId="3" fontId="42" fillId="4" borderId="8" xfId="43" applyNumberFormat="1" applyFont="1" applyFill="1" applyBorder="1"/>
    <xf numFmtId="0" fontId="38" fillId="0" borderId="9" xfId="43" applyFont="1" applyBorder="1" applyAlignment="1">
      <alignment horizontal="left" indent="1"/>
    </xf>
    <xf numFmtId="0" fontId="38" fillId="0" borderId="10" xfId="43" applyFont="1" applyBorder="1" applyAlignment="1">
      <alignment horizontal="left" wrapText="1" indent="2"/>
    </xf>
    <xf numFmtId="3" fontId="38" fillId="0" borderId="11" xfId="43" applyNumberFormat="1" applyFont="1" applyBorder="1"/>
    <xf numFmtId="3" fontId="39" fillId="0" borderId="11" xfId="43" applyNumberFormat="1" applyFont="1" applyBorder="1"/>
    <xf numFmtId="0" fontId="42" fillId="4" borderId="9" xfId="43" applyFont="1" applyFill="1" applyBorder="1"/>
    <xf numFmtId="0" fontId="42" fillId="4" borderId="10" xfId="43" applyFont="1" applyFill="1" applyBorder="1" applyAlignment="1">
      <alignment wrapText="1"/>
    </xf>
    <xf numFmtId="3" fontId="42" fillId="4" borderId="11" xfId="43" applyNumberFormat="1" applyFont="1" applyFill="1" applyBorder="1"/>
    <xf numFmtId="3" fontId="46" fillId="4" borderId="11" xfId="43" applyNumberFormat="1" applyFont="1" applyFill="1" applyBorder="1"/>
    <xf numFmtId="3" fontId="38" fillId="0" borderId="12" xfId="43" applyNumberFormat="1" applyFont="1" applyBorder="1"/>
    <xf numFmtId="0" fontId="42" fillId="4" borderId="9" xfId="43" quotePrefix="1" applyFont="1" applyFill="1" applyBorder="1"/>
    <xf numFmtId="0" fontId="38" fillId="3" borderId="9" xfId="43" applyFont="1" applyFill="1" applyBorder="1" applyAlignment="1">
      <alignment horizontal="left" indent="1"/>
    </xf>
    <xf numFmtId="0" fontId="38" fillId="3" borderId="10" xfId="43" applyFont="1" applyFill="1" applyBorder="1" applyAlignment="1">
      <alignment horizontal="left" wrapText="1" indent="2"/>
    </xf>
    <xf numFmtId="3" fontId="38" fillId="3" borderId="11" xfId="43" applyNumberFormat="1" applyFont="1" applyFill="1" applyBorder="1"/>
    <xf numFmtId="0" fontId="38" fillId="6" borderId="9" xfId="43" applyFont="1" applyFill="1" applyBorder="1" applyAlignment="1">
      <alignment horizontal="left" indent="2"/>
    </xf>
    <xf numFmtId="0" fontId="38" fillId="6" borderId="10" xfId="43" applyFont="1" applyFill="1" applyBorder="1" applyAlignment="1">
      <alignment horizontal="left" wrapText="1" indent="3"/>
    </xf>
    <xf numFmtId="0" fontId="42" fillId="0" borderId="13" xfId="43" applyFont="1" applyBorder="1"/>
    <xf numFmtId="0" fontId="42" fillId="0" borderId="14" xfId="43" applyFont="1" applyBorder="1" applyAlignment="1">
      <alignment horizontal="right" wrapText="1"/>
    </xf>
    <xf numFmtId="49" fontId="38" fillId="0" borderId="10" xfId="43" applyNumberFormat="1" applyFont="1" applyBorder="1" applyAlignment="1">
      <alignment horizontal="left" wrapText="1" indent="4"/>
    </xf>
    <xf numFmtId="49" fontId="42" fillId="4" borderId="18" xfId="43" applyNumberFormat="1" applyFont="1" applyFill="1" applyBorder="1" applyAlignment="1">
      <alignment horizontal="left" indent="2"/>
    </xf>
    <xf numFmtId="49" fontId="42" fillId="4" borderId="19" xfId="43" applyNumberFormat="1" applyFont="1" applyFill="1" applyBorder="1" applyAlignment="1">
      <alignment wrapText="1"/>
    </xf>
    <xf numFmtId="3" fontId="42" fillId="4" borderId="20" xfId="43" applyNumberFormat="1" applyFont="1" applyFill="1" applyBorder="1"/>
    <xf numFmtId="49" fontId="38" fillId="3" borderId="9" xfId="43" applyNumberFormat="1" applyFont="1" applyFill="1" applyBorder="1" applyAlignment="1">
      <alignment horizontal="left" indent="1"/>
    </xf>
    <xf numFmtId="49" fontId="38" fillId="3" borderId="10" xfId="43" applyNumberFormat="1" applyFont="1" applyFill="1" applyBorder="1" applyAlignment="1">
      <alignment horizontal="left" wrapText="1" indent="2"/>
    </xf>
    <xf numFmtId="49" fontId="42" fillId="4" borderId="9" xfId="43" applyNumberFormat="1" applyFont="1" applyFill="1" applyBorder="1"/>
    <xf numFmtId="49" fontId="42" fillId="4" borderId="10" xfId="43" applyNumberFormat="1" applyFont="1" applyFill="1" applyBorder="1" applyAlignment="1">
      <alignment wrapText="1"/>
    </xf>
    <xf numFmtId="49" fontId="42" fillId="3" borderId="10" xfId="43" applyNumberFormat="1" applyFont="1" applyFill="1" applyBorder="1" applyAlignment="1">
      <alignment horizontal="left" wrapText="1" indent="2"/>
    </xf>
    <xf numFmtId="3" fontId="42" fillId="3" borderId="11" xfId="43" applyNumberFormat="1" applyFont="1" applyFill="1" applyBorder="1"/>
    <xf numFmtId="49" fontId="38" fillId="0" borderId="9" xfId="43" applyNumberFormat="1" applyFont="1" applyBorder="1" applyAlignment="1">
      <alignment horizontal="left" indent="2"/>
    </xf>
    <xf numFmtId="3" fontId="52" fillId="3" borderId="11" xfId="43" applyNumberFormat="1" applyFont="1" applyFill="1" applyBorder="1"/>
    <xf numFmtId="49" fontId="38" fillId="6" borderId="9" xfId="43" applyNumberFormat="1" applyFont="1" applyFill="1" applyBorder="1" applyAlignment="1">
      <alignment horizontal="left" indent="2"/>
    </xf>
    <xf numFmtId="49" fontId="38" fillId="6" borderId="10" xfId="43" applyNumberFormat="1" applyFont="1" applyFill="1" applyBorder="1" applyAlignment="1">
      <alignment horizontal="left" wrapText="1" indent="4"/>
    </xf>
    <xf numFmtId="49" fontId="42" fillId="3" borderId="9" xfId="43" applyNumberFormat="1" applyFont="1" applyFill="1" applyBorder="1" applyAlignment="1">
      <alignment horizontal="left" indent="1"/>
    </xf>
    <xf numFmtId="3" fontId="42" fillId="0" borderId="0" xfId="43" applyNumberFormat="1" applyFont="1"/>
    <xf numFmtId="3" fontId="38" fillId="5" borderId="11" xfId="43" applyNumberFormat="1" applyFont="1" applyFill="1" applyBorder="1"/>
    <xf numFmtId="3" fontId="40" fillId="5" borderId="11" xfId="43" applyNumberFormat="1" applyFont="1" applyFill="1" applyBorder="1"/>
    <xf numFmtId="0" fontId="43" fillId="0" borderId="0" xfId="0" applyFont="1"/>
    <xf numFmtId="2" fontId="102" fillId="0" borderId="0" xfId="0" applyNumberFormat="1" applyFont="1"/>
    <xf numFmtId="9" fontId="0" fillId="0" borderId="0" xfId="2" applyFont="1"/>
    <xf numFmtId="0" fontId="0" fillId="0" borderId="0" xfId="0" applyAlignment="1">
      <alignment horizontal="right"/>
    </xf>
    <xf numFmtId="49" fontId="38" fillId="5" borderId="9" xfId="43" applyNumberFormat="1" applyFont="1" applyFill="1" applyBorder="1" applyAlignment="1">
      <alignment horizontal="left" indent="1"/>
    </xf>
    <xf numFmtId="49" fontId="38" fillId="5" borderId="10" xfId="43" applyNumberFormat="1" applyFont="1" applyFill="1" applyBorder="1" applyAlignment="1">
      <alignment horizontal="right" wrapText="1" indent="2"/>
    </xf>
    <xf numFmtId="3" fontId="52" fillId="5" borderId="11" xfId="43" applyNumberFormat="1" applyFont="1" applyFill="1" applyBorder="1"/>
    <xf numFmtId="49" fontId="49" fillId="5" borderId="9" xfId="43" applyNumberFormat="1" applyFont="1" applyFill="1" applyBorder="1" applyAlignment="1">
      <alignment horizontal="left" indent="1"/>
    </xf>
    <xf numFmtId="49" fontId="49" fillId="5" borderId="10" xfId="43" applyNumberFormat="1" applyFont="1" applyFill="1" applyBorder="1" applyAlignment="1">
      <alignment horizontal="right" wrapText="1" indent="2"/>
    </xf>
    <xf numFmtId="0" fontId="108" fillId="5" borderId="0" xfId="0" applyFont="1" applyFill="1"/>
    <xf numFmtId="0" fontId="61" fillId="0" borderId="4" xfId="10" applyFont="1" applyBorder="1" applyAlignment="1">
      <alignment horizontal="center" vertical="center" wrapText="1"/>
    </xf>
    <xf numFmtId="0" fontId="114" fillId="0" borderId="0" xfId="10" applyFont="1"/>
    <xf numFmtId="167" fontId="95" fillId="0" borderId="0" xfId="11" applyNumberFormat="1" applyFont="1" applyFill="1"/>
    <xf numFmtId="0" fontId="95" fillId="0" borderId="0" xfId="10" applyFont="1"/>
    <xf numFmtId="0" fontId="28" fillId="0" borderId="0" xfId="65" applyAlignment="1">
      <alignment horizontal="right"/>
    </xf>
    <xf numFmtId="0" fontId="57" fillId="0" borderId="0" xfId="65" applyFont="1"/>
    <xf numFmtId="0" fontId="114" fillId="0" borderId="0" xfId="10" applyFont="1" applyAlignment="1">
      <alignment horizontal="right"/>
    </xf>
    <xf numFmtId="167" fontId="95" fillId="0" borderId="0" xfId="12" applyNumberFormat="1" applyFont="1"/>
    <xf numFmtId="167" fontId="95" fillId="0" borderId="0" xfId="11" applyNumberFormat="1" applyFont="1"/>
    <xf numFmtId="0" fontId="58" fillId="0" borderId="0" xfId="65" applyFont="1"/>
    <xf numFmtId="0" fontId="59" fillId="0" borderId="0" xfId="65" applyFont="1"/>
    <xf numFmtId="0" fontId="28" fillId="0" borderId="0" xfId="65"/>
    <xf numFmtId="0" fontId="37" fillId="0" borderId="0" xfId="65" applyFont="1"/>
    <xf numFmtId="0" fontId="115" fillId="0" borderId="2" xfId="10" applyFont="1" applyBorder="1" applyAlignment="1">
      <alignment horizontal="center" vertical="center" wrapText="1"/>
    </xf>
    <xf numFmtId="167" fontId="116" fillId="0" borderId="4" xfId="11" applyNumberFormat="1" applyFont="1" applyBorder="1" applyAlignment="1">
      <alignment horizontal="center" vertical="center" wrapText="1"/>
    </xf>
    <xf numFmtId="167" fontId="117" fillId="0" borderId="16" xfId="11" applyNumberFormat="1" applyFont="1" applyFill="1" applyBorder="1" applyAlignment="1">
      <alignment horizontal="center" vertical="center"/>
    </xf>
    <xf numFmtId="14" fontId="114" fillId="0" borderId="24" xfId="10" applyNumberFormat="1" applyFont="1" applyBorder="1" applyAlignment="1">
      <alignment horizontal="right" vertical="center"/>
    </xf>
    <xf numFmtId="167" fontId="117" fillId="0" borderId="32" xfId="11" applyNumberFormat="1" applyFont="1" applyFill="1" applyBorder="1" applyAlignment="1">
      <alignment horizontal="center" vertical="center"/>
    </xf>
    <xf numFmtId="0" fontId="63" fillId="0" borderId="24" xfId="10" applyFont="1" applyBorder="1" applyAlignment="1">
      <alignment horizontal="right" vertical="center"/>
    </xf>
    <xf numFmtId="167" fontId="61" fillId="0" borderId="25" xfId="12" applyNumberFormat="1" applyFont="1" applyFill="1" applyBorder="1" applyAlignment="1">
      <alignment horizontal="right" vertical="center"/>
    </xf>
    <xf numFmtId="0" fontId="114" fillId="0" borderId="26" xfId="10" applyFont="1" applyBorder="1" applyAlignment="1">
      <alignment horizontal="right" vertical="center"/>
    </xf>
    <xf numFmtId="3" fontId="61" fillId="0" borderId="43" xfId="10" applyNumberFormat="1" applyFont="1" applyBorder="1" applyAlignment="1">
      <alignment vertical="center"/>
    </xf>
    <xf numFmtId="167" fontId="117" fillId="0" borderId="39" xfId="11" applyNumberFormat="1" applyFont="1" applyFill="1" applyBorder="1" applyAlignment="1">
      <alignment horizontal="center" vertical="center"/>
    </xf>
    <xf numFmtId="1" fontId="114" fillId="0" borderId="24" xfId="10" applyNumberFormat="1" applyFont="1" applyBorder="1" applyAlignment="1">
      <alignment horizontal="right" vertical="center"/>
    </xf>
    <xf numFmtId="0" fontId="118" fillId="0" borderId="26" xfId="65" applyFont="1" applyBorder="1"/>
    <xf numFmtId="0" fontId="114" fillId="0" borderId="0" xfId="10" applyFont="1" applyAlignment="1">
      <alignment horizontal="right" vertical="center"/>
    </xf>
    <xf numFmtId="167" fontId="65" fillId="0" borderId="0" xfId="12" applyNumberFormat="1" applyFont="1" applyBorder="1" applyAlignment="1">
      <alignment horizontal="center" vertical="center"/>
    </xf>
    <xf numFmtId="167" fontId="65" fillId="0" borderId="0" xfId="11" applyNumberFormat="1" applyFont="1" applyBorder="1" applyAlignment="1">
      <alignment horizontal="center" vertical="center"/>
    </xf>
    <xf numFmtId="0" fontId="114" fillId="0" borderId="30" xfId="10" applyFont="1" applyBorder="1" applyAlignment="1">
      <alignment horizontal="right" vertical="center"/>
    </xf>
    <xf numFmtId="167" fontId="65" fillId="0" borderId="30" xfId="12" applyNumberFormat="1" applyFont="1" applyBorder="1" applyAlignment="1">
      <alignment horizontal="center" vertical="center"/>
    </xf>
    <xf numFmtId="167" fontId="65" fillId="0" borderId="30" xfId="11" applyNumberFormat="1" applyFont="1" applyBorder="1" applyAlignment="1">
      <alignment horizontal="center" vertical="center"/>
    </xf>
    <xf numFmtId="14" fontId="114" fillId="0" borderId="38" xfId="10" applyNumberFormat="1" applyFont="1" applyBorder="1" applyAlignment="1">
      <alignment horizontal="right" vertical="center"/>
    </xf>
    <xf numFmtId="167" fontId="65" fillId="0" borderId="39" xfId="12" applyNumberFormat="1" applyFont="1" applyBorder="1" applyAlignment="1">
      <alignment horizontal="center" vertical="center"/>
    </xf>
    <xf numFmtId="167" fontId="65" fillId="0" borderId="39" xfId="11" applyNumberFormat="1" applyFont="1" applyBorder="1" applyAlignment="1">
      <alignment horizontal="center" vertical="center"/>
    </xf>
    <xf numFmtId="167" fontId="65" fillId="0" borderId="16" xfId="12" applyNumberFormat="1" applyFont="1" applyBorder="1" applyAlignment="1">
      <alignment horizontal="center" vertical="center"/>
    </xf>
    <xf numFmtId="167" fontId="65" fillId="0" borderId="16" xfId="11" applyNumberFormat="1" applyFont="1" applyBorder="1" applyAlignment="1">
      <alignment horizontal="center" vertical="center"/>
    </xf>
    <xf numFmtId="167" fontId="65" fillId="0" borderId="0" xfId="12" applyNumberFormat="1" applyFont="1" applyAlignment="1">
      <alignment vertical="center"/>
    </xf>
    <xf numFmtId="167" fontId="65" fillId="0" borderId="0" xfId="11" applyNumberFormat="1" applyFont="1" applyAlignment="1">
      <alignment vertical="center"/>
    </xf>
    <xf numFmtId="0" fontId="115" fillId="0" borderId="23" xfId="10" applyFont="1" applyBorder="1" applyAlignment="1">
      <alignment horizontal="right" vertical="center"/>
    </xf>
    <xf numFmtId="167" fontId="110" fillId="0" borderId="14" xfId="12" applyNumberFormat="1" applyFont="1" applyBorder="1" applyAlignment="1">
      <alignment horizontal="center" vertical="center"/>
    </xf>
    <xf numFmtId="167" fontId="110" fillId="0" borderId="14" xfId="11" applyNumberFormat="1" applyFont="1" applyBorder="1" applyAlignment="1">
      <alignment horizontal="center" vertical="center"/>
    </xf>
    <xf numFmtId="3" fontId="120" fillId="0" borderId="0" xfId="16" applyNumberFormat="1" applyFont="1"/>
    <xf numFmtId="0" fontId="112" fillId="0" borderId="0" xfId="16" applyFont="1"/>
    <xf numFmtId="0" fontId="120" fillId="0" borderId="0" xfId="10" applyFont="1" applyAlignment="1">
      <alignment horizontal="right"/>
    </xf>
    <xf numFmtId="3" fontId="113" fillId="0" borderId="0" xfId="10" applyNumberFormat="1" applyFont="1" applyAlignment="1">
      <alignment horizontal="right" vertical="center"/>
    </xf>
    <xf numFmtId="0" fontId="27" fillId="0" borderId="0" xfId="65" applyFont="1" applyAlignment="1">
      <alignment horizontal="right"/>
    </xf>
    <xf numFmtId="0" fontId="63" fillId="0" borderId="38" xfId="10" applyFont="1" applyBorder="1" applyAlignment="1">
      <alignment horizontal="center" vertical="center"/>
    </xf>
    <xf numFmtId="0" fontId="121" fillId="0" borderId="26" xfId="10" applyFont="1" applyBorder="1" applyAlignment="1">
      <alignment vertical="center"/>
    </xf>
    <xf numFmtId="0" fontId="89" fillId="0" borderId="0" xfId="0" applyFont="1" applyAlignment="1">
      <alignment vertical="center"/>
    </xf>
    <xf numFmtId="49" fontId="38" fillId="5" borderId="52" xfId="43" applyNumberFormat="1" applyFont="1" applyFill="1" applyBorder="1" applyAlignment="1">
      <alignment horizontal="left" indent="1"/>
    </xf>
    <xf numFmtId="49" fontId="38" fillId="5" borderId="53" xfId="43" applyNumberFormat="1" applyFont="1" applyFill="1" applyBorder="1" applyAlignment="1">
      <alignment horizontal="right" wrapText="1" indent="2"/>
    </xf>
    <xf numFmtId="0" fontId="125" fillId="5" borderId="0" xfId="0" applyFont="1" applyFill="1"/>
    <xf numFmtId="167" fontId="38" fillId="3" borderId="11" xfId="1" applyNumberFormat="1" applyFont="1" applyFill="1" applyBorder="1"/>
    <xf numFmtId="167" fontId="38" fillId="5" borderId="11" xfId="1" applyNumberFormat="1" applyFont="1" applyFill="1" applyBorder="1"/>
    <xf numFmtId="167" fontId="52" fillId="5" borderId="11" xfId="1" applyNumberFormat="1" applyFont="1" applyFill="1" applyBorder="1"/>
    <xf numFmtId="167" fontId="127" fillId="3" borderId="11" xfId="1" applyNumberFormat="1" applyFont="1" applyFill="1" applyBorder="1"/>
    <xf numFmtId="167" fontId="39" fillId="3" borderId="11" xfId="1" applyNumberFormat="1" applyFont="1" applyFill="1" applyBorder="1"/>
    <xf numFmtId="3" fontId="128" fillId="3" borderId="11" xfId="43" applyNumberFormat="1" applyFont="1" applyFill="1" applyBorder="1"/>
    <xf numFmtId="0" fontId="125" fillId="0" borderId="0" xfId="0" applyFont="1"/>
    <xf numFmtId="3" fontId="0" fillId="0" borderId="0" xfId="0" applyNumberFormat="1"/>
    <xf numFmtId="3" fontId="52" fillId="0" borderId="11" xfId="43" applyNumberFormat="1" applyFont="1" applyBorder="1"/>
    <xf numFmtId="0" fontId="137" fillId="0" borderId="0" xfId="10" applyFont="1" applyAlignment="1">
      <alignment vertical="center"/>
    </xf>
    <xf numFmtId="3" fontId="42" fillId="0" borderId="15" xfId="43" applyNumberFormat="1" applyFont="1" applyBorder="1"/>
    <xf numFmtId="0" fontId="63" fillId="5" borderId="22" xfId="10" applyFont="1" applyFill="1" applyBorder="1" applyAlignment="1">
      <alignment horizontal="center" vertical="center"/>
    </xf>
    <xf numFmtId="14" fontId="63" fillId="5" borderId="32" xfId="10" applyNumberFormat="1" applyFont="1" applyFill="1" applyBorder="1" applyAlignment="1">
      <alignment horizontal="center" vertical="center"/>
    </xf>
    <xf numFmtId="1" fontId="63" fillId="5" borderId="24" xfId="10" applyNumberFormat="1" applyFont="1" applyFill="1" applyBorder="1" applyAlignment="1">
      <alignment horizontal="right" vertical="center"/>
    </xf>
    <xf numFmtId="0" fontId="63" fillId="5" borderId="38" xfId="10" applyFont="1" applyFill="1" applyBorder="1" applyAlignment="1">
      <alignment horizontal="right" vertical="center"/>
    </xf>
    <xf numFmtId="0" fontId="63" fillId="5" borderId="38" xfId="10" applyFont="1" applyFill="1" applyBorder="1" applyAlignment="1">
      <alignment horizontal="center" vertical="center"/>
    </xf>
    <xf numFmtId="167" fontId="117" fillId="5" borderId="32" xfId="11" applyNumberFormat="1" applyFont="1" applyFill="1" applyBorder="1" applyAlignment="1">
      <alignment horizontal="center" vertical="center"/>
    </xf>
    <xf numFmtId="167" fontId="63" fillId="5" borderId="22" xfId="11" applyNumberFormat="1" applyFont="1" applyFill="1" applyBorder="1" applyAlignment="1">
      <alignment horizontal="center" vertical="center"/>
    </xf>
    <xf numFmtId="10" fontId="63" fillId="5" borderId="32" xfId="10" applyNumberFormat="1" applyFont="1" applyFill="1" applyBorder="1" applyAlignment="1">
      <alignment horizontal="center" vertical="center"/>
    </xf>
    <xf numFmtId="0" fontId="63" fillId="5" borderId="32" xfId="10" applyFont="1" applyFill="1" applyBorder="1" applyAlignment="1">
      <alignment horizontal="center" vertical="center"/>
    </xf>
    <xf numFmtId="167" fontId="63" fillId="5" borderId="32" xfId="12" applyNumberFormat="1" applyFont="1" applyFill="1" applyBorder="1" applyAlignment="1">
      <alignment horizontal="center" vertical="center"/>
    </xf>
    <xf numFmtId="167" fontId="63" fillId="5" borderId="32" xfId="11" applyNumberFormat="1" applyFont="1" applyFill="1" applyBorder="1" applyAlignment="1">
      <alignment horizontal="center" vertical="center"/>
    </xf>
    <xf numFmtId="3" fontId="61" fillId="5" borderId="25" xfId="10" applyNumberFormat="1" applyFont="1" applyFill="1" applyBorder="1" applyAlignment="1">
      <alignment vertical="center"/>
    </xf>
    <xf numFmtId="0" fontId="63" fillId="5" borderId="33" xfId="10" applyFont="1" applyFill="1" applyBorder="1" applyAlignment="1">
      <alignment horizontal="center" vertical="center"/>
    </xf>
    <xf numFmtId="3" fontId="61" fillId="5" borderId="25" xfId="10" applyNumberFormat="1" applyFont="1" applyFill="1" applyBorder="1" applyAlignment="1">
      <alignment horizontal="right" vertical="center"/>
    </xf>
    <xf numFmtId="0" fontId="54" fillId="5" borderId="0" xfId="10" applyFont="1" applyFill="1" applyAlignment="1">
      <alignment vertical="center"/>
    </xf>
    <xf numFmtId="0" fontId="63" fillId="5" borderId="16" xfId="10" applyFont="1" applyFill="1" applyBorder="1" applyAlignment="1">
      <alignment horizontal="center" vertical="center"/>
    </xf>
    <xf numFmtId="0" fontId="114" fillId="5" borderId="26" xfId="10" applyFont="1" applyFill="1" applyBorder="1" applyAlignment="1">
      <alignment horizontal="right" vertical="center"/>
    </xf>
    <xf numFmtId="0" fontId="63" fillId="5" borderId="26" xfId="10" applyFont="1" applyFill="1" applyBorder="1" applyAlignment="1">
      <alignment horizontal="right" vertical="center"/>
    </xf>
    <xf numFmtId="0" fontId="63" fillId="5" borderId="26" xfId="10" applyFont="1" applyFill="1" applyBorder="1" applyAlignment="1">
      <alignment horizontal="center" vertical="center"/>
    </xf>
    <xf numFmtId="167" fontId="117" fillId="5" borderId="16" xfId="11" applyNumberFormat="1" applyFont="1" applyFill="1" applyBorder="1" applyAlignment="1">
      <alignment horizontal="center" vertical="center"/>
    </xf>
    <xf numFmtId="0" fontId="118" fillId="5" borderId="26" xfId="65" applyFont="1" applyFill="1" applyBorder="1"/>
    <xf numFmtId="167" fontId="63" fillId="5" borderId="0" xfId="11" applyNumberFormat="1" applyFont="1" applyFill="1" applyBorder="1" applyAlignment="1">
      <alignment horizontal="center" vertical="center"/>
    </xf>
    <xf numFmtId="167" fontId="63" fillId="5" borderId="16" xfId="12" applyNumberFormat="1" applyFont="1" applyFill="1" applyBorder="1" applyAlignment="1">
      <alignment horizontal="center" vertical="center"/>
    </xf>
    <xf numFmtId="167" fontId="63" fillId="5" borderId="16" xfId="11" applyNumberFormat="1" applyFont="1" applyFill="1" applyBorder="1" applyAlignment="1">
      <alignment horizontal="center" vertical="center"/>
    </xf>
    <xf numFmtId="3" fontId="61" fillId="5" borderId="27" xfId="10" applyNumberFormat="1" applyFont="1" applyFill="1" applyBorder="1" applyAlignment="1">
      <alignment vertical="center"/>
    </xf>
    <xf numFmtId="0" fontId="63" fillId="5" borderId="15" xfId="10" applyFont="1" applyFill="1" applyBorder="1" applyAlignment="1">
      <alignment horizontal="center" vertical="center"/>
    </xf>
    <xf numFmtId="0" fontId="56" fillId="5" borderId="0" xfId="10" applyFont="1" applyFill="1" applyAlignment="1">
      <alignment vertical="center"/>
    </xf>
    <xf numFmtId="0" fontId="114" fillId="0" borderId="38" xfId="10" applyFont="1" applyBorder="1" applyAlignment="1">
      <alignment horizontal="right" vertical="center"/>
    </xf>
    <xf numFmtId="0" fontId="118" fillId="0" borderId="39" xfId="65" applyFont="1" applyBorder="1"/>
    <xf numFmtId="3" fontId="61" fillId="0" borderId="40" xfId="10" applyNumberFormat="1" applyFont="1" applyBorder="1" applyAlignment="1">
      <alignment horizontal="right" vertical="center"/>
    </xf>
    <xf numFmtId="0" fontId="118" fillId="0" borderId="16" xfId="65" applyFont="1" applyBorder="1"/>
    <xf numFmtId="167" fontId="63" fillId="0" borderId="30" xfId="11" applyNumberFormat="1" applyFont="1" applyFill="1" applyBorder="1" applyAlignment="1">
      <alignment horizontal="center" vertical="center"/>
    </xf>
    <xf numFmtId="1" fontId="63" fillId="0" borderId="24" xfId="10" applyNumberFormat="1" applyFont="1" applyBorder="1" applyAlignment="1">
      <alignment horizontal="right" vertical="center"/>
    </xf>
    <xf numFmtId="0" fontId="136" fillId="0" borderId="26" xfId="65" applyFont="1" applyBorder="1"/>
    <xf numFmtId="167" fontId="133" fillId="0" borderId="0" xfId="11" applyNumberFormat="1" applyFont="1" applyFill="1" applyBorder="1" applyAlignment="1">
      <alignment horizontal="center" vertical="center"/>
    </xf>
    <xf numFmtId="0" fontId="133" fillId="0" borderId="16" xfId="10" applyFont="1" applyBorder="1" applyAlignment="1">
      <alignment horizontal="center" vertical="center"/>
    </xf>
    <xf numFmtId="167" fontId="133" fillId="0" borderId="16" xfId="12" applyNumberFormat="1" applyFont="1" applyFill="1" applyBorder="1" applyAlignment="1">
      <alignment horizontal="center" vertical="center"/>
    </xf>
    <xf numFmtId="167" fontId="133" fillId="0" borderId="16" xfId="11" applyNumberFormat="1" applyFont="1" applyFill="1" applyBorder="1" applyAlignment="1">
      <alignment horizontal="center" vertical="center"/>
    </xf>
    <xf numFmtId="3" fontId="134" fillId="0" borderId="27" xfId="10" applyNumberFormat="1" applyFont="1" applyBorder="1" applyAlignment="1">
      <alignment vertical="center"/>
    </xf>
    <xf numFmtId="0" fontId="135" fillId="0" borderId="0" xfId="10" applyFont="1"/>
    <xf numFmtId="0" fontId="137" fillId="0" borderId="0" xfId="10" applyFont="1"/>
    <xf numFmtId="3" fontId="134" fillId="0" borderId="27" xfId="10" applyNumberFormat="1" applyFont="1" applyBorder="1" applyAlignment="1">
      <alignment horizontal="right" vertical="center"/>
    </xf>
    <xf numFmtId="3" fontId="134" fillId="0" borderId="0" xfId="10" applyNumberFormat="1" applyFont="1" applyAlignment="1">
      <alignment horizontal="right" vertical="center"/>
    </xf>
    <xf numFmtId="3" fontId="134" fillId="0" borderId="30" xfId="10" applyNumberFormat="1" applyFont="1" applyBorder="1" applyAlignment="1">
      <alignment horizontal="right" vertical="center"/>
    </xf>
    <xf numFmtId="0" fontId="134" fillId="0" borderId="0" xfId="10" applyFont="1" applyAlignment="1">
      <alignment vertical="center"/>
    </xf>
    <xf numFmtId="3" fontId="139" fillId="0" borderId="0" xfId="16" applyNumberFormat="1" applyFont="1"/>
    <xf numFmtId="3" fontId="135" fillId="0" borderId="0" xfId="10" applyNumberFormat="1" applyFont="1"/>
    <xf numFmtId="167" fontId="137" fillId="0" borderId="0" xfId="1" applyNumberFormat="1" applyFont="1"/>
    <xf numFmtId="3" fontId="52" fillId="5" borderId="54" xfId="43" applyNumberFormat="1" applyFont="1" applyFill="1" applyBorder="1"/>
    <xf numFmtId="49" fontId="49" fillId="3" borderId="9" xfId="43" applyNumberFormat="1" applyFont="1" applyFill="1" applyBorder="1" applyAlignment="1">
      <alignment horizontal="right" indent="1"/>
    </xf>
    <xf numFmtId="49" fontId="49" fillId="5" borderId="52" xfId="43" applyNumberFormat="1" applyFont="1" applyFill="1" applyBorder="1" applyAlignment="1">
      <alignment horizontal="left" indent="1"/>
    </xf>
    <xf numFmtId="0" fontId="0" fillId="0" borderId="0" xfId="0" applyAlignment="1">
      <alignment horizontal="left"/>
    </xf>
    <xf numFmtId="167" fontId="38" fillId="0" borderId="8" xfId="5" applyNumberFormat="1" applyFont="1" applyFill="1" applyBorder="1"/>
    <xf numFmtId="0" fontId="21" fillId="0" borderId="0" xfId="65" applyFont="1" applyAlignment="1">
      <alignment horizontal="right"/>
    </xf>
    <xf numFmtId="0" fontId="42" fillId="0" borderId="3" xfId="7" applyFont="1" applyBorder="1" applyAlignment="1">
      <alignment horizontal="center" vertical="center" wrapText="1"/>
    </xf>
    <xf numFmtId="0" fontId="63" fillId="0" borderId="24" xfId="10" applyFont="1" applyBorder="1" applyAlignment="1">
      <alignment horizontal="center" vertical="center"/>
    </xf>
    <xf numFmtId="3" fontId="134" fillId="5" borderId="27" xfId="10" applyNumberFormat="1" applyFont="1" applyFill="1" applyBorder="1" applyAlignment="1">
      <alignment horizontal="right" vertical="center"/>
    </xf>
    <xf numFmtId="3" fontId="134" fillId="0" borderId="25" xfId="10" applyNumberFormat="1" applyFont="1" applyBorder="1" applyAlignment="1">
      <alignment horizontal="right" vertical="center"/>
    </xf>
    <xf numFmtId="0" fontId="114" fillId="0" borderId="24" xfId="10" applyFont="1" applyBorder="1" applyAlignment="1">
      <alignment vertical="center"/>
    </xf>
    <xf numFmtId="0" fontId="114" fillId="0" borderId="26" xfId="10" applyFont="1" applyBorder="1" applyAlignment="1">
      <alignment vertical="center"/>
    </xf>
    <xf numFmtId="0" fontId="114" fillId="0" borderId="38" xfId="10" applyFont="1" applyBorder="1" applyAlignment="1">
      <alignment vertical="center"/>
    </xf>
    <xf numFmtId="0" fontId="63" fillId="0" borderId="57" xfId="10" applyFont="1" applyBorder="1" applyAlignment="1">
      <alignment horizontal="right" vertical="center"/>
    </xf>
    <xf numFmtId="167" fontId="38" fillId="0" borderId="11" xfId="5" applyNumberFormat="1" applyFont="1" applyFill="1" applyBorder="1"/>
    <xf numFmtId="3" fontId="42" fillId="4" borderId="8" xfId="3" applyNumberFormat="1" applyFont="1" applyFill="1" applyBorder="1"/>
    <xf numFmtId="3" fontId="42" fillId="4" borderId="51" xfId="43" applyNumberFormat="1" applyFont="1" applyFill="1" applyBorder="1"/>
    <xf numFmtId="43" fontId="84" fillId="0" borderId="0" xfId="1" applyFont="1" applyAlignment="1">
      <alignment wrapText="1"/>
    </xf>
    <xf numFmtId="3" fontId="46" fillId="4" borderId="11" xfId="3" applyNumberFormat="1" applyFont="1" applyFill="1" applyBorder="1"/>
    <xf numFmtId="3" fontId="42" fillId="4" borderId="11" xfId="3" applyNumberFormat="1" applyFont="1" applyFill="1" applyBorder="1"/>
    <xf numFmtId="3" fontId="40" fillId="5" borderId="11" xfId="3" applyNumberFormat="1" applyFont="1" applyFill="1" applyBorder="1"/>
    <xf numFmtId="3" fontId="48" fillId="5" borderId="11" xfId="3" applyNumberFormat="1" applyFont="1" applyFill="1" applyBorder="1"/>
    <xf numFmtId="0" fontId="149" fillId="0" borderId="0" xfId="0" applyFont="1"/>
    <xf numFmtId="3" fontId="49" fillId="5" borderId="11" xfId="43" applyNumberFormat="1" applyFont="1" applyFill="1" applyBorder="1"/>
    <xf numFmtId="3" fontId="46" fillId="3" borderId="11" xfId="3" applyNumberFormat="1" applyFont="1" applyFill="1" applyBorder="1"/>
    <xf numFmtId="3" fontId="49" fillId="5" borderId="11" xfId="3" applyNumberFormat="1" applyFont="1" applyFill="1" applyBorder="1"/>
    <xf numFmtId="3" fontId="38" fillId="3" borderId="11" xfId="3" applyNumberFormat="1" applyFont="1" applyFill="1" applyBorder="1"/>
    <xf numFmtId="3" fontId="38" fillId="5" borderId="54" xfId="43" applyNumberFormat="1" applyFont="1" applyFill="1" applyBorder="1"/>
    <xf numFmtId="3" fontId="38" fillId="5" borderId="11" xfId="3" applyNumberFormat="1" applyFont="1" applyFill="1" applyBorder="1"/>
    <xf numFmtId="43" fontId="38" fillId="5" borderId="11" xfId="1" applyFont="1" applyFill="1" applyBorder="1" applyAlignment="1">
      <alignment wrapText="1"/>
    </xf>
    <xf numFmtId="49" fontId="128" fillId="3" borderId="10" xfId="43" applyNumberFormat="1" applyFont="1" applyFill="1" applyBorder="1" applyAlignment="1">
      <alignment horizontal="left" wrapText="1" indent="2"/>
    </xf>
    <xf numFmtId="3" fontId="38" fillId="0" borderId="11" xfId="3" applyNumberFormat="1" applyFont="1" applyBorder="1"/>
    <xf numFmtId="3" fontId="38" fillId="0" borderId="12" xfId="3" applyNumberFormat="1" applyFont="1" applyBorder="1"/>
    <xf numFmtId="3" fontId="42" fillId="3" borderId="8" xfId="3" applyNumberFormat="1" applyFont="1" applyFill="1" applyBorder="1"/>
    <xf numFmtId="3" fontId="42" fillId="4" borderId="20" xfId="3" applyNumberFormat="1" applyFont="1" applyFill="1" applyBorder="1"/>
    <xf numFmtId="3" fontId="42" fillId="3" borderId="11" xfId="3" applyNumberFormat="1" applyFont="1" applyFill="1" applyBorder="1"/>
    <xf numFmtId="3" fontId="134" fillId="0" borderId="58" xfId="10" applyNumberFormat="1" applyFont="1" applyBorder="1" applyAlignment="1">
      <alignment horizontal="right" vertical="center"/>
    </xf>
    <xf numFmtId="3" fontId="134" fillId="5" borderId="25" xfId="10" applyNumberFormat="1" applyFont="1" applyFill="1" applyBorder="1" applyAlignment="1">
      <alignment horizontal="right" vertical="center"/>
    </xf>
    <xf numFmtId="3" fontId="134" fillId="5" borderId="40" xfId="10" applyNumberFormat="1" applyFont="1" applyFill="1" applyBorder="1" applyAlignment="1">
      <alignment horizontal="right" vertical="center"/>
    </xf>
    <xf numFmtId="3" fontId="134" fillId="0" borderId="40" xfId="10" applyNumberFormat="1" applyFont="1" applyBorder="1" applyAlignment="1">
      <alignment horizontal="right" vertical="center"/>
    </xf>
    <xf numFmtId="0" fontId="114" fillId="0" borderId="24" xfId="10" applyFont="1" applyBorder="1" applyAlignment="1">
      <alignment horizontal="right" vertical="center"/>
    </xf>
    <xf numFmtId="0" fontId="111" fillId="0" borderId="0" xfId="10" applyFont="1" applyAlignment="1">
      <alignment vertical="center"/>
    </xf>
    <xf numFmtId="167" fontId="39" fillId="5" borderId="11" xfId="1" applyNumberFormat="1" applyFont="1" applyFill="1" applyBorder="1"/>
    <xf numFmtId="167" fontId="127" fillId="5" borderId="11" xfId="1" applyNumberFormat="1" applyFont="1" applyFill="1" applyBorder="1"/>
    <xf numFmtId="3" fontId="165" fillId="5" borderId="11" xfId="43" applyNumberFormat="1" applyFont="1" applyFill="1" applyBorder="1"/>
    <xf numFmtId="167" fontId="38" fillId="6" borderId="11" xfId="1" applyNumberFormat="1" applyFont="1" applyFill="1" applyBorder="1"/>
    <xf numFmtId="3" fontId="50" fillId="3" borderId="11" xfId="43" applyNumberFormat="1" applyFont="1" applyFill="1" applyBorder="1"/>
    <xf numFmtId="0" fontId="108" fillId="0" borderId="0" xfId="0" applyFont="1"/>
    <xf numFmtId="3" fontId="46" fillId="4" borderId="20" xfId="3" applyNumberFormat="1" applyFont="1" applyFill="1" applyBorder="1"/>
    <xf numFmtId="3" fontId="38" fillId="0" borderId="73" xfId="43" applyNumberFormat="1" applyFont="1" applyBorder="1"/>
    <xf numFmtId="49" fontId="38" fillId="5" borderId="72" xfId="43" applyNumberFormat="1" applyFont="1" applyFill="1" applyBorder="1" applyAlignment="1">
      <alignment horizontal="left" indent="1"/>
    </xf>
    <xf numFmtId="49" fontId="38" fillId="5" borderId="70" xfId="43" applyNumberFormat="1" applyFont="1" applyFill="1" applyBorder="1" applyAlignment="1">
      <alignment horizontal="right" wrapText="1" indent="2"/>
    </xf>
    <xf numFmtId="3" fontId="40" fillId="5" borderId="73" xfId="3" applyNumberFormat="1" applyFont="1" applyFill="1" applyBorder="1"/>
    <xf numFmtId="49" fontId="138" fillId="5" borderId="9" xfId="43" applyNumberFormat="1" applyFont="1" applyFill="1" applyBorder="1" applyAlignment="1">
      <alignment horizontal="left" indent="1"/>
    </xf>
    <xf numFmtId="3" fontId="138" fillId="5" borderId="11" xfId="43" applyNumberFormat="1" applyFont="1" applyFill="1" applyBorder="1"/>
    <xf numFmtId="49" fontId="138" fillId="5" borderId="52" xfId="43" applyNumberFormat="1" applyFont="1" applyFill="1" applyBorder="1" applyAlignment="1">
      <alignment horizontal="left" indent="1"/>
    </xf>
    <xf numFmtId="3" fontId="169" fillId="5" borderId="11" xfId="43" applyNumberFormat="1" applyFont="1" applyFill="1" applyBorder="1"/>
    <xf numFmtId="0" fontId="97" fillId="5" borderId="0" xfId="0" applyFont="1" applyFill="1"/>
    <xf numFmtId="0" fontId="164" fillId="5" borderId="0" xfId="0" applyFont="1" applyFill="1"/>
    <xf numFmtId="49" fontId="138" fillId="5" borderId="72" xfId="43" applyNumberFormat="1" applyFont="1" applyFill="1" applyBorder="1" applyAlignment="1">
      <alignment horizontal="left" indent="1"/>
    </xf>
    <xf numFmtId="49" fontId="138" fillId="5" borderId="70" xfId="43" applyNumberFormat="1" applyFont="1" applyFill="1" applyBorder="1" applyAlignment="1">
      <alignment horizontal="right" wrapText="1" indent="2"/>
    </xf>
    <xf numFmtId="3" fontId="138" fillId="5" borderId="73" xfId="3" applyNumberFormat="1" applyFont="1" applyFill="1" applyBorder="1"/>
    <xf numFmtId="49" fontId="126" fillId="5" borderId="9" xfId="43" applyNumberFormat="1" applyFont="1" applyFill="1" applyBorder="1" applyAlignment="1">
      <alignment horizontal="left" indent="1"/>
    </xf>
    <xf numFmtId="49" fontId="126" fillId="5" borderId="10" xfId="43" applyNumberFormat="1" applyFont="1" applyFill="1" applyBorder="1" applyAlignment="1">
      <alignment horizontal="right" wrapText="1" indent="2"/>
    </xf>
    <xf numFmtId="3" fontId="126" fillId="5" borderId="11" xfId="3" applyNumberFormat="1" applyFont="1" applyFill="1" applyBorder="1"/>
    <xf numFmtId="3" fontId="126" fillId="5" borderId="11" xfId="43" applyNumberFormat="1" applyFont="1" applyFill="1" applyBorder="1"/>
    <xf numFmtId="167" fontId="126" fillId="5" borderId="11" xfId="1" applyNumberFormat="1" applyFont="1" applyFill="1" applyBorder="1"/>
    <xf numFmtId="0" fontId="107" fillId="5" borderId="0" xfId="0" applyFont="1" applyFill="1"/>
    <xf numFmtId="49" fontId="126" fillId="5" borderId="52" xfId="43" applyNumberFormat="1" applyFont="1" applyFill="1" applyBorder="1" applyAlignment="1">
      <alignment horizontal="left" indent="1"/>
    </xf>
    <xf numFmtId="49" fontId="126" fillId="5" borderId="53" xfId="43" applyNumberFormat="1" applyFont="1" applyFill="1" applyBorder="1" applyAlignment="1">
      <alignment horizontal="right" wrapText="1" indent="2"/>
    </xf>
    <xf numFmtId="3" fontId="126" fillId="0" borderId="51" xfId="3" applyNumberFormat="1" applyFont="1" applyBorder="1"/>
    <xf numFmtId="0" fontId="164" fillId="0" borderId="0" xfId="0" applyFont="1"/>
    <xf numFmtId="167" fontId="126" fillId="5" borderId="54" xfId="1" applyNumberFormat="1" applyFont="1" applyFill="1" applyBorder="1"/>
    <xf numFmtId="3" fontId="126" fillId="0" borderId="54" xfId="3" applyNumberFormat="1" applyFont="1" applyBorder="1"/>
    <xf numFmtId="167" fontId="63" fillId="0" borderId="39" xfId="12" applyNumberFormat="1" applyFont="1" applyBorder="1" applyAlignment="1">
      <alignment horizontal="center" vertical="center"/>
    </xf>
    <xf numFmtId="167" fontId="63" fillId="0" borderId="39" xfId="11" applyNumberFormat="1" applyFont="1" applyBorder="1" applyAlignment="1">
      <alignment horizontal="center" vertical="center"/>
    </xf>
    <xf numFmtId="3" fontId="61" fillId="0" borderId="58" xfId="10" applyNumberFormat="1" applyFont="1" applyBorder="1" applyAlignment="1">
      <alignment horizontal="right" vertical="center"/>
    </xf>
    <xf numFmtId="167" fontId="117" fillId="0" borderId="16" xfId="11" applyNumberFormat="1" applyFont="1" applyBorder="1" applyAlignment="1">
      <alignment horizontal="center" vertical="center"/>
    </xf>
    <xf numFmtId="167" fontId="63" fillId="0" borderId="16" xfId="12" applyNumberFormat="1" applyFont="1" applyBorder="1" applyAlignment="1">
      <alignment horizontal="center" vertical="center"/>
    </xf>
    <xf numFmtId="3" fontId="126" fillId="4" borderId="11" xfId="43" applyNumberFormat="1" applyFont="1" applyFill="1" applyBorder="1"/>
    <xf numFmtId="0" fontId="61" fillId="0" borderId="14" xfId="10" applyFont="1" applyBorder="1" applyAlignment="1">
      <alignment horizontal="center" vertical="center" wrapText="1"/>
    </xf>
    <xf numFmtId="0" fontId="63" fillId="0" borderId="0" xfId="0" applyFont="1" applyAlignment="1">
      <alignment vertical="center"/>
    </xf>
    <xf numFmtId="0" fontId="38" fillId="6" borderId="72" xfId="43" applyFont="1" applyFill="1" applyBorder="1" applyAlignment="1">
      <alignment horizontal="left" indent="2"/>
    </xf>
    <xf numFmtId="0" fontId="38" fillId="6" borderId="70" xfId="43" applyFont="1" applyFill="1" applyBorder="1" applyAlignment="1">
      <alignment horizontal="left" wrapText="1" indent="3"/>
    </xf>
    <xf numFmtId="0" fontId="54" fillId="13" borderId="0" xfId="10" applyFont="1" applyFill="1" applyAlignment="1">
      <alignment vertical="center"/>
    </xf>
    <xf numFmtId="0" fontId="56" fillId="13" borderId="0" xfId="10" applyFont="1" applyFill="1" applyAlignment="1">
      <alignment vertical="center"/>
    </xf>
    <xf numFmtId="0" fontId="63" fillId="0" borderId="46" xfId="28" applyFont="1" applyBorder="1" applyAlignment="1">
      <alignment horizontal="center" vertical="center" wrapText="1"/>
    </xf>
    <xf numFmtId="169" fontId="63" fillId="0" borderId="77" xfId="28" applyNumberFormat="1" applyFont="1" applyBorder="1" applyAlignment="1">
      <alignment horizontal="center" vertical="center"/>
    </xf>
    <xf numFmtId="0" fontId="172" fillId="0" borderId="68" xfId="28" applyFont="1" applyBorder="1"/>
    <xf numFmtId="0" fontId="172" fillId="0" borderId="69" xfId="28" applyFont="1" applyBorder="1"/>
    <xf numFmtId="167" fontId="61" fillId="0" borderId="22" xfId="11" applyNumberFormat="1" applyFont="1" applyFill="1" applyBorder="1" applyAlignment="1">
      <alignment horizontal="center" vertical="center"/>
    </xf>
    <xf numFmtId="0" fontId="51" fillId="0" borderId="0" xfId="10" applyFont="1"/>
    <xf numFmtId="0" fontId="103" fillId="0" borderId="0" xfId="10" applyFont="1"/>
    <xf numFmtId="0" fontId="51" fillId="0" borderId="35" xfId="10" applyFont="1" applyBorder="1" applyAlignment="1">
      <alignment vertical="center"/>
    </xf>
    <xf numFmtId="0" fontId="51" fillId="0" borderId="37" xfId="10" applyFont="1" applyBorder="1" applyAlignment="1">
      <alignment vertical="center"/>
    </xf>
    <xf numFmtId="0" fontId="51" fillId="0" borderId="0" xfId="10" applyFont="1" applyAlignment="1">
      <alignment vertical="center"/>
    </xf>
    <xf numFmtId="0" fontId="173" fillId="0" borderId="30" xfId="65" applyFont="1" applyBorder="1"/>
    <xf numFmtId="167" fontId="51" fillId="0" borderId="22" xfId="11" applyNumberFormat="1" applyFont="1" applyFill="1" applyBorder="1" applyAlignment="1">
      <alignment horizontal="center" vertical="center"/>
    </xf>
    <xf numFmtId="0" fontId="51" fillId="0" borderId="13" xfId="10" applyFont="1" applyBorder="1" applyAlignment="1">
      <alignment vertical="center"/>
    </xf>
    <xf numFmtId="0" fontId="174" fillId="0" borderId="0" xfId="10" applyFont="1"/>
    <xf numFmtId="167" fontId="61" fillId="0" borderId="16" xfId="11" applyNumberFormat="1" applyFont="1" applyFill="1" applyBorder="1" applyAlignment="1">
      <alignment horizontal="center" vertical="center"/>
    </xf>
    <xf numFmtId="167" fontId="61" fillId="0" borderId="26" xfId="11" applyNumberFormat="1" applyFont="1" applyFill="1" applyBorder="1" applyAlignment="1">
      <alignment horizontal="center" vertical="center"/>
    </xf>
    <xf numFmtId="167" fontId="61" fillId="5" borderId="22" xfId="11" applyNumberFormat="1" applyFont="1" applyFill="1" applyBorder="1" applyAlignment="1">
      <alignment horizontal="center" vertical="center"/>
    </xf>
    <xf numFmtId="167" fontId="61" fillId="5" borderId="26" xfId="11" applyNumberFormat="1" applyFont="1" applyFill="1" applyBorder="1" applyAlignment="1">
      <alignment horizontal="center" vertical="center"/>
    </xf>
    <xf numFmtId="167" fontId="61" fillId="0" borderId="39" xfId="11" applyNumberFormat="1" applyFont="1" applyFill="1" applyBorder="1" applyAlignment="1">
      <alignment horizontal="center" vertical="center"/>
    </xf>
    <xf numFmtId="167" fontId="61" fillId="0" borderId="24" xfId="11" applyNumberFormat="1" applyFont="1" applyFill="1" applyBorder="1" applyAlignment="1">
      <alignment horizontal="center" vertical="center"/>
    </xf>
    <xf numFmtId="167" fontId="110" fillId="0" borderId="26" xfId="11" applyNumberFormat="1" applyFont="1" applyFill="1" applyBorder="1" applyAlignment="1">
      <alignment horizontal="center" vertical="center"/>
    </xf>
    <xf numFmtId="167" fontId="134" fillId="0" borderId="26" xfId="11" applyNumberFormat="1" applyFont="1" applyFill="1" applyBorder="1" applyAlignment="1">
      <alignment horizontal="center" vertical="center"/>
    </xf>
    <xf numFmtId="0" fontId="56" fillId="14" borderId="0" xfId="10" applyFont="1" applyFill="1" applyAlignment="1">
      <alignment horizontal="right"/>
    </xf>
    <xf numFmtId="167" fontId="117" fillId="0" borderId="0" xfId="11" applyNumberFormat="1" applyFont="1" applyFill="1" applyBorder="1" applyAlignment="1">
      <alignment horizontal="center" vertical="center"/>
    </xf>
    <xf numFmtId="167" fontId="61" fillId="0" borderId="0" xfId="11" applyNumberFormat="1" applyFont="1" applyFill="1" applyBorder="1" applyAlignment="1">
      <alignment horizontal="center" vertical="center"/>
    </xf>
    <xf numFmtId="0" fontId="118" fillId="0" borderId="0" xfId="65" applyFont="1"/>
    <xf numFmtId="167" fontId="63" fillId="0" borderId="0" xfId="12" applyNumberFormat="1" applyFont="1" applyFill="1" applyBorder="1" applyAlignment="1">
      <alignment horizontal="center" vertical="center"/>
    </xf>
    <xf numFmtId="0" fontId="61" fillId="0" borderId="13" xfId="10" applyFont="1" applyBorder="1" applyAlignment="1">
      <alignment horizontal="center" vertical="center" wrapText="1"/>
    </xf>
    <xf numFmtId="3" fontId="61" fillId="0" borderId="48" xfId="10" applyNumberFormat="1" applyFont="1" applyBorder="1" applyAlignment="1">
      <alignment vertical="center"/>
    </xf>
    <xf numFmtId="3" fontId="61" fillId="0" borderId="78" xfId="10" applyNumberFormat="1" applyFont="1" applyBorder="1" applyAlignment="1">
      <alignment vertical="center"/>
    </xf>
    <xf numFmtId="3" fontId="61" fillId="0" borderId="28" xfId="10" applyNumberFormat="1" applyFont="1" applyBorder="1" applyAlignment="1">
      <alignment vertical="center"/>
    </xf>
    <xf numFmtId="3" fontId="61" fillId="5" borderId="48" xfId="10" applyNumberFormat="1" applyFont="1" applyFill="1" applyBorder="1" applyAlignment="1">
      <alignment vertical="center"/>
    </xf>
    <xf numFmtId="3" fontId="61" fillId="5" borderId="28" xfId="10" applyNumberFormat="1" applyFont="1" applyFill="1" applyBorder="1" applyAlignment="1">
      <alignment vertical="center"/>
    </xf>
    <xf numFmtId="3" fontId="61" fillId="0" borderId="50" xfId="10" applyNumberFormat="1" applyFont="1" applyBorder="1" applyAlignment="1">
      <alignment vertical="center"/>
    </xf>
    <xf numFmtId="3" fontId="134" fillId="0" borderId="28" xfId="10" applyNumberFormat="1" applyFont="1" applyBorder="1" applyAlignment="1">
      <alignment vertical="center"/>
    </xf>
    <xf numFmtId="0" fontId="61" fillId="5" borderId="21" xfId="10" applyFont="1" applyFill="1" applyBorder="1" applyAlignment="1">
      <alignment horizontal="center" vertical="center" wrapText="1"/>
    </xf>
    <xf numFmtId="1" fontId="65" fillId="0" borderId="24" xfId="10" applyNumberFormat="1" applyFont="1" applyBorder="1" applyAlignment="1">
      <alignment horizontal="right" vertical="center"/>
    </xf>
    <xf numFmtId="3" fontId="110" fillId="0" borderId="25" xfId="10" applyNumberFormat="1" applyFont="1" applyBorder="1" applyAlignment="1">
      <alignment horizontal="right" vertical="center"/>
    </xf>
    <xf numFmtId="0" fontId="65" fillId="0" borderId="16" xfId="10" applyFont="1" applyBorder="1" applyAlignment="1">
      <alignment horizontal="center" vertical="center"/>
    </xf>
    <xf numFmtId="0" fontId="65" fillId="0" borderId="26" xfId="10" applyFont="1" applyBorder="1" applyAlignment="1">
      <alignment horizontal="right" vertical="center"/>
    </xf>
    <xf numFmtId="3" fontId="110" fillId="0" borderId="27" xfId="1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87" fillId="5" borderId="21" xfId="0" applyFont="1" applyFill="1" applyBorder="1" applyAlignment="1">
      <alignment horizontal="center"/>
    </xf>
    <xf numFmtId="0" fontId="86" fillId="5" borderId="23" xfId="0" applyFont="1" applyFill="1" applyBorder="1" applyAlignment="1">
      <alignment horizontal="right"/>
    </xf>
    <xf numFmtId="0" fontId="86" fillId="5" borderId="21" xfId="0" applyFont="1" applyFill="1" applyBorder="1" applyAlignment="1">
      <alignment horizontal="center"/>
    </xf>
    <xf numFmtId="0" fontId="178" fillId="0" borderId="0" xfId="0" applyFont="1"/>
    <xf numFmtId="0" fontId="178" fillId="0" borderId="0" xfId="0" applyFont="1" applyAlignment="1">
      <alignment wrapText="1"/>
    </xf>
    <xf numFmtId="0" fontId="140" fillId="0" borderId="0" xfId="0" applyFont="1"/>
    <xf numFmtId="43" fontId="0" fillId="0" borderId="0" xfId="1" applyFont="1"/>
    <xf numFmtId="43" fontId="42" fillId="0" borderId="3" xfId="1" applyFont="1" applyBorder="1" applyAlignment="1">
      <alignment horizontal="center" vertical="center" wrapText="1"/>
    </xf>
    <xf numFmtId="43" fontId="90" fillId="0" borderId="0" xfId="1" applyFont="1" applyAlignment="1"/>
    <xf numFmtId="43" fontId="90" fillId="0" borderId="0" xfId="1" applyFont="1" applyAlignment="1">
      <alignment horizontal="left" wrapText="1"/>
    </xf>
    <xf numFmtId="43" fontId="38" fillId="3" borderId="11" xfId="1" applyFont="1" applyFill="1" applyBorder="1"/>
    <xf numFmtId="43" fontId="45" fillId="0" borderId="3" xfId="1" applyFont="1" applyBorder="1" applyAlignment="1">
      <alignment horizontal="center" vertical="center" wrapText="1"/>
    </xf>
    <xf numFmtId="43" fontId="45" fillId="4" borderId="20" xfId="1" applyFont="1" applyFill="1" applyBorder="1"/>
    <xf numFmtId="43" fontId="39" fillId="3" borderId="11" xfId="1" applyFont="1" applyFill="1" applyBorder="1"/>
    <xf numFmtId="43" fontId="38" fillId="5" borderId="11" xfId="1" applyFont="1" applyFill="1" applyBorder="1"/>
    <xf numFmtId="43" fontId="129" fillId="5" borderId="11" xfId="1" applyFont="1" applyFill="1" applyBorder="1"/>
    <xf numFmtId="43" fontId="38" fillId="5" borderId="11" xfId="1" quotePrefix="1" applyFont="1" applyFill="1" applyBorder="1" applyAlignment="1">
      <alignment wrapText="1"/>
    </xf>
    <xf numFmtId="43" fontId="38" fillId="3" borderId="11" xfId="1" applyFont="1" applyFill="1" applyBorder="1" applyAlignment="1">
      <alignment wrapText="1"/>
    </xf>
    <xf numFmtId="43" fontId="45" fillId="4" borderId="11" xfId="1" applyFont="1" applyFill="1" applyBorder="1"/>
    <xf numFmtId="43" fontId="126" fillId="5" borderId="11" xfId="1" applyFont="1" applyFill="1" applyBorder="1"/>
    <xf numFmtId="43" fontId="138" fillId="5" borderId="11" xfId="1" applyFont="1" applyFill="1" applyBorder="1"/>
    <xf numFmtId="43" fontId="138" fillId="5" borderId="73" xfId="1" applyFont="1" applyFill="1" applyBorder="1"/>
    <xf numFmtId="43" fontId="45" fillId="3" borderId="11" xfId="1" applyFont="1" applyFill="1" applyBorder="1"/>
    <xf numFmtId="43" fontId="39" fillId="5" borderId="11" xfId="1" applyFont="1" applyFill="1" applyBorder="1"/>
    <xf numFmtId="43" fontId="39" fillId="5" borderId="73" xfId="1" applyFont="1" applyFill="1" applyBorder="1"/>
    <xf numFmtId="43" fontId="52" fillId="5" borderId="11" xfId="1" applyFont="1" applyFill="1" applyBorder="1"/>
    <xf numFmtId="43" fontId="129" fillId="5" borderId="54" xfId="1" applyFont="1" applyFill="1" applyBorder="1"/>
    <xf numFmtId="43" fontId="52" fillId="5" borderId="54" xfId="1" applyFont="1" applyFill="1" applyBorder="1"/>
    <xf numFmtId="43" fontId="39" fillId="5" borderId="54" xfId="1" applyFont="1" applyFill="1" applyBorder="1"/>
    <xf numFmtId="43" fontId="52" fillId="3" borderId="11" xfId="1" applyFont="1" applyFill="1" applyBorder="1"/>
    <xf numFmtId="43" fontId="52" fillId="5" borderId="73" xfId="1" applyFont="1" applyFill="1" applyBorder="1"/>
    <xf numFmtId="43" fontId="52" fillId="5" borderId="11" xfId="1" quotePrefix="1" applyFont="1" applyFill="1" applyBorder="1" applyAlignment="1">
      <alignment wrapText="1"/>
    </xf>
    <xf numFmtId="167" fontId="38" fillId="3" borderId="11" xfId="1" applyNumberFormat="1" applyFont="1" applyFill="1" applyBorder="1" applyAlignment="1">
      <alignment wrapText="1"/>
    </xf>
    <xf numFmtId="167" fontId="38" fillId="5" borderId="11" xfId="1" applyNumberFormat="1" applyFont="1" applyFill="1" applyBorder="1" applyAlignment="1">
      <alignment wrapText="1"/>
    </xf>
    <xf numFmtId="3" fontId="91" fillId="0" borderId="11" xfId="43" applyNumberFormat="1" applyFont="1" applyBorder="1"/>
    <xf numFmtId="43" fontId="181" fillId="0" borderId="0" xfId="173" applyNumberFormat="1" applyAlignment="1">
      <alignment wrapText="1"/>
    </xf>
    <xf numFmtId="43" fontId="84" fillId="0" borderId="0" xfId="1" applyFont="1" applyFill="1" applyAlignment="1">
      <alignment wrapText="1"/>
    </xf>
    <xf numFmtId="3" fontId="42" fillId="0" borderId="15" xfId="3" applyNumberFormat="1" applyFont="1" applyBorder="1"/>
    <xf numFmtId="3" fontId="38" fillId="0" borderId="73" xfId="3" applyNumberFormat="1" applyFont="1" applyBorder="1"/>
    <xf numFmtId="0" fontId="63" fillId="0" borderId="82" xfId="10" applyFont="1" applyBorder="1" applyAlignment="1">
      <alignment horizontal="center" vertical="center"/>
    </xf>
    <xf numFmtId="3" fontId="90" fillId="0" borderId="0" xfId="0" applyNumberFormat="1" applyFont="1"/>
    <xf numFmtId="49" fontId="42" fillId="0" borderId="0" xfId="43" applyNumberFormat="1" applyFont="1" applyAlignment="1">
      <alignment horizontal="left" indent="1"/>
    </xf>
    <xf numFmtId="49" fontId="42" fillId="0" borderId="0" xfId="43" applyNumberFormat="1" applyFont="1" applyAlignment="1">
      <alignment horizontal="left" wrapText="1" indent="2"/>
    </xf>
    <xf numFmtId="3" fontId="40" fillId="0" borderId="0" xfId="3" applyNumberFormat="1" applyFont="1"/>
    <xf numFmtId="3" fontId="38" fillId="0" borderId="0" xfId="3" applyNumberFormat="1" applyFont="1"/>
    <xf numFmtId="167" fontId="38" fillId="0" borderId="0" xfId="1" applyNumberFormat="1" applyFont="1" applyFill="1" applyBorder="1"/>
    <xf numFmtId="3" fontId="46" fillId="0" borderId="0" xfId="3" applyNumberFormat="1" applyFont="1"/>
    <xf numFmtId="3" fontId="42" fillId="0" borderId="0" xfId="3" applyNumberFormat="1" applyFont="1"/>
    <xf numFmtId="167" fontId="42" fillId="0" borderId="0" xfId="1" applyNumberFormat="1" applyFont="1" applyFill="1" applyBorder="1"/>
    <xf numFmtId="49" fontId="48" fillId="3" borderId="9" xfId="43" applyNumberFormat="1" applyFont="1" applyFill="1" applyBorder="1" applyAlignment="1">
      <alignment horizontal="right" indent="1"/>
    </xf>
    <xf numFmtId="167" fontId="38" fillId="5" borderId="11" xfId="1" quotePrefix="1" applyNumberFormat="1" applyFont="1" applyFill="1" applyBorder="1" applyAlignment="1">
      <alignment wrapText="1"/>
    </xf>
    <xf numFmtId="43" fontId="52" fillId="5" borderId="11" xfId="1" applyFont="1" applyFill="1" applyBorder="1" applyAlignment="1">
      <alignment wrapText="1"/>
    </xf>
    <xf numFmtId="167" fontId="91" fillId="5" borderId="11" xfId="1" applyNumberFormat="1" applyFont="1" applyFill="1" applyBorder="1" applyAlignment="1">
      <alignment wrapText="1"/>
    </xf>
    <xf numFmtId="167" fontId="52" fillId="5" borderId="11" xfId="1" quotePrefix="1" applyNumberFormat="1" applyFont="1" applyFill="1" applyBorder="1" applyAlignment="1">
      <alignment wrapText="1"/>
    </xf>
    <xf numFmtId="3" fontId="38" fillId="0" borderId="75" xfId="43" applyNumberFormat="1" applyFont="1" applyBorder="1"/>
    <xf numFmtId="43" fontId="90" fillId="0" borderId="0" xfId="1" applyFont="1" applyAlignment="1">
      <alignment wrapText="1"/>
    </xf>
    <xf numFmtId="49" fontId="50" fillId="3" borderId="10" xfId="43" applyNumberFormat="1" applyFont="1" applyFill="1" applyBorder="1" applyAlignment="1">
      <alignment horizontal="left" wrapText="1" indent="2"/>
    </xf>
    <xf numFmtId="0" fontId="38" fillId="6" borderId="79" xfId="43" applyFont="1" applyFill="1" applyBorder="1" applyAlignment="1">
      <alignment horizontal="left" wrapText="1" indent="3"/>
    </xf>
    <xf numFmtId="167" fontId="38" fillId="6" borderId="11" xfId="1" applyNumberFormat="1" applyFont="1" applyFill="1" applyBorder="1" applyAlignment="1">
      <alignment wrapText="1"/>
    </xf>
    <xf numFmtId="167" fontId="90" fillId="0" borderId="0" xfId="1" applyNumberFormat="1" applyFont="1"/>
    <xf numFmtId="49" fontId="126" fillId="0" borderId="10" xfId="43" applyNumberFormat="1" applyFont="1" applyBorder="1" applyAlignment="1">
      <alignment horizontal="right" wrapText="1" indent="2"/>
    </xf>
    <xf numFmtId="3" fontId="126" fillId="0" borderId="11" xfId="3" applyNumberFormat="1" applyFont="1" applyBorder="1"/>
    <xf numFmtId="3" fontId="126" fillId="0" borderId="11" xfId="43" applyNumberFormat="1" applyFont="1" applyBorder="1"/>
    <xf numFmtId="49" fontId="126" fillId="0" borderId="53" xfId="43" applyNumberFormat="1" applyFont="1" applyBorder="1" applyAlignment="1">
      <alignment horizontal="right" wrapText="1" indent="2"/>
    </xf>
    <xf numFmtId="49" fontId="170" fillId="0" borderId="10" xfId="43" applyNumberFormat="1" applyFont="1" applyBorder="1" applyAlignment="1">
      <alignment horizontal="right" wrapText="1" indent="2"/>
    </xf>
    <xf numFmtId="3" fontId="97" fillId="0" borderId="0" xfId="0" applyNumberFormat="1" applyFont="1"/>
    <xf numFmtId="49" fontId="138" fillId="5" borderId="86" xfId="43" applyNumberFormat="1" applyFont="1" applyFill="1" applyBorder="1" applyAlignment="1">
      <alignment horizontal="left" indent="1"/>
    </xf>
    <xf numFmtId="49" fontId="138" fillId="5" borderId="80" xfId="43" applyNumberFormat="1" applyFont="1" applyFill="1" applyBorder="1" applyAlignment="1">
      <alignment horizontal="right" wrapText="1" indent="2"/>
    </xf>
    <xf numFmtId="3" fontId="138" fillId="5" borderId="87" xfId="3" applyNumberFormat="1" applyFont="1" applyFill="1" applyBorder="1"/>
    <xf numFmtId="43" fontId="138" fillId="5" borderId="87" xfId="1" applyFont="1" applyFill="1" applyBorder="1"/>
    <xf numFmtId="49" fontId="169" fillId="5" borderId="86" xfId="43" applyNumberFormat="1" applyFont="1" applyFill="1" applyBorder="1" applyAlignment="1">
      <alignment horizontal="left" indent="1"/>
    </xf>
    <xf numFmtId="49" fontId="169" fillId="5" borderId="80" xfId="43" applyNumberFormat="1" applyFont="1" applyFill="1" applyBorder="1" applyAlignment="1">
      <alignment horizontal="right" wrapText="1" indent="2"/>
    </xf>
    <xf numFmtId="3" fontId="169" fillId="5" borderId="87" xfId="3" applyNumberFormat="1" applyFont="1" applyFill="1" applyBorder="1"/>
    <xf numFmtId="43" fontId="169" fillId="5" borderId="87" xfId="1" applyFont="1" applyFill="1" applyBorder="1"/>
    <xf numFmtId="3" fontId="40" fillId="3" borderId="11" xfId="43" applyNumberFormat="1" applyFont="1" applyFill="1" applyBorder="1"/>
    <xf numFmtId="3" fontId="40" fillId="0" borderId="11" xfId="3" applyNumberFormat="1" applyFont="1" applyBorder="1"/>
    <xf numFmtId="4" fontId="176" fillId="5" borderId="71" xfId="10" applyNumberFormat="1" applyFont="1" applyFill="1" applyBorder="1" applyAlignment="1">
      <alignment horizontal="center" vertical="center"/>
    </xf>
    <xf numFmtId="4" fontId="176" fillId="5" borderId="88" xfId="10" applyNumberFormat="1" applyFont="1" applyFill="1" applyBorder="1" applyAlignment="1">
      <alignment horizontal="center" vertical="center"/>
    </xf>
    <xf numFmtId="3" fontId="183" fillId="0" borderId="0" xfId="43" applyNumberFormat="1" applyFont="1"/>
    <xf numFmtId="3" fontId="184" fillId="0" borderId="0" xfId="43" applyNumberFormat="1" applyFont="1"/>
    <xf numFmtId="3" fontId="83" fillId="0" borderId="0" xfId="0" applyNumberFormat="1" applyFont="1"/>
    <xf numFmtId="43" fontId="100" fillId="3" borderId="11" xfId="1" applyFont="1" applyFill="1" applyBorder="1"/>
    <xf numFmtId="3" fontId="46" fillId="3" borderId="8" xfId="3" applyNumberFormat="1" applyFont="1" applyFill="1" applyBorder="1"/>
    <xf numFmtId="3" fontId="46" fillId="4" borderId="8" xfId="3" applyNumberFormat="1" applyFont="1" applyFill="1" applyBorder="1"/>
    <xf numFmtId="167" fontId="40" fillId="0" borderId="11" xfId="5" applyNumberFormat="1" applyFont="1" applyFill="1" applyBorder="1"/>
    <xf numFmtId="167" fontId="40" fillId="0" borderId="8" xfId="5" applyNumberFormat="1" applyFont="1" applyFill="1" applyBorder="1"/>
    <xf numFmtId="3" fontId="40" fillId="0" borderId="12" xfId="3" applyNumberFormat="1" applyFont="1" applyBorder="1"/>
    <xf numFmtId="3" fontId="46" fillId="4" borderId="51" xfId="3" applyNumberFormat="1" applyFont="1" applyFill="1" applyBorder="1"/>
    <xf numFmtId="3" fontId="40" fillId="0" borderId="73" xfId="3" applyNumberFormat="1" applyFont="1" applyBorder="1"/>
    <xf numFmtId="3" fontId="46" fillId="0" borderId="15" xfId="3" applyNumberFormat="1" applyFont="1" applyBorder="1"/>
    <xf numFmtId="0" fontId="59" fillId="0" borderId="0" xfId="65" applyFont="1" applyAlignment="1">
      <alignment horizontal="right"/>
    </xf>
    <xf numFmtId="0" fontId="111" fillId="0" borderId="0" xfId="10" applyFont="1"/>
    <xf numFmtId="0" fontId="185" fillId="0" borderId="0" xfId="10" applyFont="1" applyAlignment="1">
      <alignment horizontal="right"/>
    </xf>
    <xf numFmtId="3" fontId="186" fillId="0" borderId="0" xfId="16" applyNumberFormat="1" applyFont="1"/>
    <xf numFmtId="3" fontId="38" fillId="0" borderId="89" xfId="43" applyNumberFormat="1" applyFont="1" applyBorder="1"/>
    <xf numFmtId="49" fontId="38" fillId="5" borderId="90" xfId="43" applyNumberFormat="1" applyFont="1" applyFill="1" applyBorder="1" applyAlignment="1">
      <alignment horizontal="left" indent="1"/>
    </xf>
    <xf numFmtId="43" fontId="39" fillId="5" borderId="89" xfId="1" applyFont="1" applyFill="1" applyBorder="1"/>
    <xf numFmtId="3" fontId="38" fillId="3" borderId="89" xfId="43" applyNumberFormat="1" applyFont="1" applyFill="1" applyBorder="1"/>
    <xf numFmtId="3" fontId="187" fillId="0" borderId="0" xfId="3" applyNumberFormat="1" applyFont="1"/>
    <xf numFmtId="3" fontId="166" fillId="5" borderId="11" xfId="3" applyNumberFormat="1" applyFont="1" applyFill="1" applyBorder="1"/>
    <xf numFmtId="3" fontId="187" fillId="5" borderId="11" xfId="3" applyNumberFormat="1" applyFont="1" applyFill="1" applyBorder="1"/>
    <xf numFmtId="3" fontId="166" fillId="5" borderId="73" xfId="3" applyNumberFormat="1" applyFont="1" applyFill="1" applyBorder="1"/>
    <xf numFmtId="3" fontId="178" fillId="0" borderId="0" xfId="0" applyNumberFormat="1" applyFont="1"/>
    <xf numFmtId="3" fontId="187" fillId="5" borderId="73" xfId="3" applyNumberFormat="1" applyFont="1" applyFill="1" applyBorder="1"/>
    <xf numFmtId="3" fontId="166" fillId="5" borderId="11" xfId="43" applyNumberFormat="1" applyFont="1" applyFill="1" applyBorder="1"/>
    <xf numFmtId="3" fontId="187" fillId="5" borderId="11" xfId="43" applyNumberFormat="1" applyFont="1" applyFill="1" applyBorder="1"/>
    <xf numFmtId="3" fontId="166" fillId="0" borderId="54" xfId="43" applyNumberFormat="1" applyFont="1" applyBorder="1"/>
    <xf numFmtId="3" fontId="187" fillId="5" borderId="87" xfId="3" applyNumberFormat="1" applyFont="1" applyFill="1" applyBorder="1"/>
    <xf numFmtId="3" fontId="187" fillId="0" borderId="11" xfId="43" applyNumberFormat="1" applyFont="1" applyBorder="1"/>
    <xf numFmtId="3" fontId="187" fillId="0" borderId="73" xfId="43" applyNumberFormat="1" applyFont="1" applyBorder="1"/>
    <xf numFmtId="0" fontId="189" fillId="0" borderId="0" xfId="0" applyFont="1"/>
    <xf numFmtId="167" fontId="166" fillId="5" borderId="11" xfId="1" applyNumberFormat="1" applyFont="1" applyFill="1" applyBorder="1"/>
    <xf numFmtId="0" fontId="178" fillId="5" borderId="0" xfId="0" applyFont="1" applyFill="1"/>
    <xf numFmtId="3" fontId="187" fillId="0" borderId="11" xfId="3" applyNumberFormat="1" applyFont="1" applyBorder="1"/>
    <xf numFmtId="49" fontId="166" fillId="5" borderId="52" xfId="43" applyNumberFormat="1" applyFont="1" applyFill="1" applyBorder="1" applyAlignment="1">
      <alignment horizontal="left" indent="1"/>
    </xf>
    <xf numFmtId="49" fontId="187" fillId="5" borderId="10" xfId="43" applyNumberFormat="1" applyFont="1" applyFill="1" applyBorder="1" applyAlignment="1">
      <alignment horizontal="right" wrapText="1" indent="2"/>
    </xf>
    <xf numFmtId="3" fontId="166" fillId="5" borderId="54" xfId="3" applyNumberFormat="1" applyFont="1" applyFill="1" applyBorder="1"/>
    <xf numFmtId="43" fontId="166" fillId="5" borderId="54" xfId="1" applyFont="1" applyFill="1" applyBorder="1"/>
    <xf numFmtId="49" fontId="187" fillId="5" borderId="9" xfId="43" applyNumberFormat="1" applyFont="1" applyFill="1" applyBorder="1" applyAlignment="1">
      <alignment horizontal="left" indent="1"/>
    </xf>
    <xf numFmtId="43" fontId="166" fillId="5" borderId="11" xfId="1" applyFont="1" applyFill="1" applyBorder="1"/>
    <xf numFmtId="0" fontId="189" fillId="5" borderId="0" xfId="0" applyFont="1" applyFill="1"/>
    <xf numFmtId="43" fontId="187" fillId="5" borderId="11" xfId="1" applyFont="1" applyFill="1" applyBorder="1"/>
    <xf numFmtId="43" fontId="166" fillId="5" borderId="73" xfId="1" applyFont="1" applyFill="1" applyBorder="1"/>
    <xf numFmtId="49" fontId="187" fillId="5" borderId="52" xfId="43" applyNumberFormat="1" applyFont="1" applyFill="1" applyBorder="1" applyAlignment="1">
      <alignment horizontal="left" indent="1"/>
    </xf>
    <xf numFmtId="3" fontId="187" fillId="5" borderId="73" xfId="43" applyNumberFormat="1" applyFont="1" applyFill="1" applyBorder="1"/>
    <xf numFmtId="49" fontId="166" fillId="5" borderId="72" xfId="43" applyNumberFormat="1" applyFont="1" applyFill="1" applyBorder="1" applyAlignment="1">
      <alignment horizontal="left" indent="1"/>
    </xf>
    <xf numFmtId="49" fontId="166" fillId="5" borderId="70" xfId="43" applyNumberFormat="1" applyFont="1" applyFill="1" applyBorder="1" applyAlignment="1">
      <alignment horizontal="right" wrapText="1" indent="2"/>
    </xf>
    <xf numFmtId="49" fontId="188" fillId="5" borderId="52" xfId="43" applyNumberFormat="1" applyFont="1" applyFill="1" applyBorder="1" applyAlignment="1">
      <alignment horizontal="left" indent="1"/>
    </xf>
    <xf numFmtId="49" fontId="188" fillId="5" borderId="56" xfId="43" applyNumberFormat="1" applyFont="1" applyFill="1" applyBorder="1" applyAlignment="1">
      <alignment horizontal="right" wrapText="1" indent="2"/>
    </xf>
    <xf numFmtId="3" fontId="188" fillId="5" borderId="54" xfId="3" applyNumberFormat="1" applyFont="1" applyFill="1" applyBorder="1"/>
    <xf numFmtId="3" fontId="188" fillId="5" borderId="11" xfId="43" applyNumberFormat="1" applyFont="1" applyFill="1" applyBorder="1"/>
    <xf numFmtId="43" fontId="188" fillId="5" borderId="54" xfId="1" applyFont="1" applyFill="1" applyBorder="1"/>
    <xf numFmtId="0" fontId="190" fillId="5" borderId="0" xfId="0" applyFont="1" applyFill="1"/>
    <xf numFmtId="49" fontId="187" fillId="5" borderId="86" xfId="43" applyNumberFormat="1" applyFont="1" applyFill="1" applyBorder="1" applyAlignment="1">
      <alignment horizontal="left" indent="1"/>
    </xf>
    <xf numFmtId="49" fontId="187" fillId="5" borderId="80" xfId="43" applyNumberFormat="1" applyFont="1" applyFill="1" applyBorder="1" applyAlignment="1">
      <alignment horizontal="right" wrapText="1" indent="2"/>
    </xf>
    <xf numFmtId="43" fontId="187" fillId="5" borderId="87" xfId="1" applyFont="1" applyFill="1" applyBorder="1"/>
    <xf numFmtId="3" fontId="39" fillId="0" borderId="0" xfId="9" applyNumberFormat="1" applyFont="1"/>
    <xf numFmtId="167" fontId="53" fillId="0" borderId="0" xfId="1" applyNumberFormat="1" applyFont="1"/>
    <xf numFmtId="167" fontId="39" fillId="0" borderId="0" xfId="1" applyNumberFormat="1" applyFont="1"/>
    <xf numFmtId="167" fontId="61" fillId="0" borderId="38" xfId="11" applyNumberFormat="1" applyFont="1" applyFill="1" applyBorder="1" applyAlignment="1">
      <alignment horizontal="center" vertical="center"/>
    </xf>
    <xf numFmtId="0" fontId="7" fillId="0" borderId="0" xfId="196" applyAlignment="1">
      <alignment vertical="top"/>
    </xf>
    <xf numFmtId="0" fontId="147" fillId="0" borderId="0" xfId="196" applyFont="1" applyAlignment="1">
      <alignment vertical="top"/>
    </xf>
    <xf numFmtId="2" fontId="193" fillId="0" borderId="0" xfId="196" applyNumberFormat="1" applyFont="1" applyAlignment="1">
      <alignment vertical="top"/>
    </xf>
    <xf numFmtId="0" fontId="194" fillId="0" borderId="0" xfId="196" applyFont="1" applyAlignment="1">
      <alignment vertical="top"/>
    </xf>
    <xf numFmtId="0" fontId="7" fillId="0" borderId="0" xfId="196"/>
    <xf numFmtId="0" fontId="195" fillId="0" borderId="0" xfId="196" applyFont="1" applyAlignment="1">
      <alignment vertical="top"/>
    </xf>
    <xf numFmtId="2" fontId="197" fillId="0" borderId="0" xfId="196" applyNumberFormat="1" applyFont="1" applyAlignment="1">
      <alignment vertical="top"/>
    </xf>
    <xf numFmtId="0" fontId="198" fillId="0" borderId="0" xfId="196" applyFont="1" applyAlignment="1">
      <alignment vertical="top"/>
    </xf>
    <xf numFmtId="0" fontId="7" fillId="13" borderId="96" xfId="196" applyFill="1" applyBorder="1" applyAlignment="1">
      <alignment vertical="top"/>
    </xf>
    <xf numFmtId="0" fontId="199" fillId="13" borderId="96" xfId="196" applyFont="1" applyFill="1" applyBorder="1" applyAlignment="1">
      <alignment vertical="top" wrapText="1"/>
    </xf>
    <xf numFmtId="2" fontId="199" fillId="13" borderId="96" xfId="196" applyNumberFormat="1" applyFont="1" applyFill="1" applyBorder="1" applyAlignment="1">
      <alignment vertical="top" wrapText="1"/>
    </xf>
    <xf numFmtId="0" fontId="200" fillId="13" borderId="96" xfId="196" applyFont="1" applyFill="1" applyBorder="1" applyAlignment="1">
      <alignment vertical="top" wrapText="1"/>
    </xf>
    <xf numFmtId="0" fontId="141" fillId="13" borderId="96" xfId="196" applyFont="1" applyFill="1" applyBorder="1" applyAlignment="1">
      <alignment vertical="top"/>
    </xf>
    <xf numFmtId="0" fontId="201" fillId="13" borderId="96" xfId="196" applyFont="1" applyFill="1" applyBorder="1" applyAlignment="1">
      <alignment vertical="top"/>
    </xf>
    <xf numFmtId="2" fontId="202" fillId="13" borderId="96" xfId="196" applyNumberFormat="1" applyFont="1" applyFill="1" applyBorder="1" applyAlignment="1">
      <alignment vertical="top" wrapText="1"/>
    </xf>
    <xf numFmtId="0" fontId="203" fillId="13" borderId="96" xfId="196" applyFont="1" applyFill="1" applyBorder="1" applyAlignment="1">
      <alignment vertical="top" wrapText="1"/>
    </xf>
    <xf numFmtId="0" fontId="141" fillId="0" borderId="0" xfId="196" applyFont="1"/>
    <xf numFmtId="0" fontId="92" fillId="24" borderId="96" xfId="196" applyFont="1" applyFill="1" applyBorder="1" applyAlignment="1">
      <alignment vertical="top"/>
    </xf>
    <xf numFmtId="2" fontId="147" fillId="24" borderId="96" xfId="196" applyNumberFormat="1" applyFont="1" applyFill="1" applyBorder="1" applyAlignment="1">
      <alignment vertical="top"/>
    </xf>
    <xf numFmtId="2" fontId="197" fillId="24" borderId="96" xfId="196" applyNumberFormat="1" applyFont="1" applyFill="1" applyBorder="1" applyAlignment="1">
      <alignment vertical="top"/>
    </xf>
    <xf numFmtId="2" fontId="198" fillId="24" borderId="96" xfId="196" applyNumberFormat="1" applyFont="1" applyFill="1" applyBorder="1" applyAlignment="1">
      <alignment vertical="top"/>
    </xf>
    <xf numFmtId="0" fontId="7" fillId="16" borderId="96" xfId="196" applyFill="1" applyBorder="1" applyAlignment="1">
      <alignment vertical="top" wrapText="1"/>
    </xf>
    <xf numFmtId="2" fontId="204" fillId="16" borderId="96" xfId="196" applyNumberFormat="1" applyFont="1" applyFill="1" applyBorder="1" applyAlignment="1">
      <alignment vertical="top"/>
    </xf>
    <xf numFmtId="0" fontId="182" fillId="60" borderId="96" xfId="196" applyFont="1" applyFill="1" applyBorder="1" applyAlignment="1">
      <alignment vertical="top" wrapText="1"/>
    </xf>
    <xf numFmtId="2" fontId="204" fillId="60" borderId="96" xfId="197" applyNumberFormat="1" applyFont="1" applyFill="1" applyBorder="1" applyAlignment="1">
      <alignment vertical="top"/>
    </xf>
    <xf numFmtId="0" fontId="59" fillId="60" borderId="96" xfId="196" applyFont="1" applyFill="1" applyBorder="1" applyAlignment="1">
      <alignment vertical="top" wrapText="1"/>
    </xf>
    <xf numFmtId="0" fontId="148" fillId="60" borderId="96" xfId="196" applyFont="1" applyFill="1" applyBorder="1" applyAlignment="1">
      <alignment vertical="top" wrapText="1"/>
    </xf>
    <xf numFmtId="0" fontId="148" fillId="16" borderId="96" xfId="196" applyFont="1" applyFill="1" applyBorder="1" applyAlignment="1">
      <alignment vertical="top" wrapText="1"/>
    </xf>
    <xf numFmtId="2" fontId="204" fillId="16" borderId="96" xfId="197" applyNumberFormat="1" applyFont="1" applyFill="1" applyBorder="1" applyAlignment="1">
      <alignment vertical="top"/>
    </xf>
    <xf numFmtId="0" fontId="194" fillId="60" borderId="96" xfId="196" applyFont="1" applyFill="1" applyBorder="1" applyAlignment="1">
      <alignment vertical="top"/>
    </xf>
    <xf numFmtId="0" fontId="59" fillId="16" borderId="96" xfId="196" applyFont="1" applyFill="1" applyBorder="1" applyAlignment="1">
      <alignment vertical="top" wrapText="1"/>
    </xf>
    <xf numFmtId="0" fontId="92" fillId="24" borderId="97" xfId="196" applyFont="1" applyFill="1" applyBorder="1" applyAlignment="1">
      <alignment horizontal="left" vertical="top"/>
    </xf>
    <xf numFmtId="2" fontId="198" fillId="24" borderId="97" xfId="196" applyNumberFormat="1" applyFont="1" applyFill="1" applyBorder="1" applyAlignment="1">
      <alignment vertical="top"/>
    </xf>
    <xf numFmtId="0" fontId="7" fillId="0" borderId="96" xfId="196" applyBorder="1"/>
    <xf numFmtId="0" fontId="59" fillId="16" borderId="98" xfId="196" applyFont="1" applyFill="1" applyBorder="1" applyAlignment="1">
      <alignment vertical="top" wrapText="1"/>
    </xf>
    <xf numFmtId="0" fontId="194" fillId="16" borderId="98" xfId="196" applyFont="1" applyFill="1" applyBorder="1" applyAlignment="1">
      <alignment vertical="top"/>
    </xf>
    <xf numFmtId="0" fontId="205" fillId="0" borderId="0" xfId="196" applyFont="1"/>
    <xf numFmtId="2" fontId="204" fillId="60" borderId="38" xfId="197" applyNumberFormat="1" applyFont="1" applyFill="1" applyBorder="1" applyAlignment="1">
      <alignment vertical="top"/>
    </xf>
    <xf numFmtId="0" fontId="59" fillId="16" borderId="96" xfId="196" applyFont="1" applyFill="1" applyBorder="1" applyAlignment="1">
      <alignment horizontal="left" vertical="top" wrapText="1"/>
    </xf>
    <xf numFmtId="0" fontId="59" fillId="16" borderId="96" xfId="196" applyFont="1" applyFill="1" applyBorder="1" applyAlignment="1">
      <alignment vertical="top"/>
    </xf>
    <xf numFmtId="0" fontId="59" fillId="60" borderId="96" xfId="196" applyFont="1" applyFill="1" applyBorder="1" applyAlignment="1">
      <alignment horizontal="left" vertical="top" wrapText="1"/>
    </xf>
    <xf numFmtId="0" fontId="59" fillId="21" borderId="96" xfId="196" applyFont="1" applyFill="1" applyBorder="1" applyAlignment="1">
      <alignment horizontal="left" vertical="top" wrapText="1"/>
    </xf>
    <xf numFmtId="2" fontId="204" fillId="21" borderId="96" xfId="197" applyNumberFormat="1" applyFont="1" applyFill="1" applyBorder="1" applyAlignment="1">
      <alignment vertical="top"/>
    </xf>
    <xf numFmtId="0" fontId="7" fillId="16" borderId="96" xfId="196" applyFill="1" applyBorder="1" applyAlignment="1">
      <alignment horizontal="left" vertical="top" wrapText="1"/>
    </xf>
    <xf numFmtId="0" fontId="59" fillId="16" borderId="96" xfId="196" applyFont="1" applyFill="1" applyBorder="1" applyAlignment="1">
      <alignment horizontal="left" vertical="top"/>
    </xf>
    <xf numFmtId="0" fontId="59" fillId="60" borderId="96" xfId="196" applyFont="1" applyFill="1" applyBorder="1" applyAlignment="1">
      <alignment vertical="top"/>
    </xf>
    <xf numFmtId="0" fontId="204" fillId="60" borderId="96" xfId="196" applyFont="1" applyFill="1" applyBorder="1" applyAlignment="1">
      <alignment vertical="top"/>
    </xf>
    <xf numFmtId="0" fontId="7" fillId="60" borderId="96" xfId="196" applyFill="1" applyBorder="1" applyAlignment="1">
      <alignment vertical="top" wrapText="1"/>
    </xf>
    <xf numFmtId="2" fontId="206" fillId="60" borderId="96" xfId="197" applyNumberFormat="1" applyFont="1" applyFill="1" applyBorder="1" applyAlignment="1">
      <alignment vertical="top"/>
    </xf>
    <xf numFmtId="0" fontId="92" fillId="11" borderId="96" xfId="196" applyFont="1" applyFill="1" applyBorder="1" applyAlignment="1">
      <alignment vertical="top" wrapText="1"/>
    </xf>
    <xf numFmtId="2" fontId="204" fillId="11" borderId="96" xfId="197" applyNumberFormat="1" applyFont="1" applyFill="1" applyBorder="1" applyAlignment="1">
      <alignment vertical="top"/>
    </xf>
    <xf numFmtId="0" fontId="7" fillId="21" borderId="96" xfId="196" applyFill="1" applyBorder="1" applyAlignment="1">
      <alignment vertical="top" wrapText="1"/>
    </xf>
    <xf numFmtId="0" fontId="182" fillId="11" borderId="96" xfId="196" applyFont="1" applyFill="1" applyBorder="1" applyAlignment="1">
      <alignment vertical="top" wrapText="1"/>
    </xf>
    <xf numFmtId="0" fontId="7" fillId="60" borderId="96" xfId="196" applyFill="1" applyBorder="1" applyAlignment="1">
      <alignment vertical="top"/>
    </xf>
    <xf numFmtId="0" fontId="194" fillId="16" borderId="96" xfId="196" applyFont="1" applyFill="1" applyBorder="1" applyAlignment="1">
      <alignment vertical="top"/>
    </xf>
    <xf numFmtId="0" fontId="7" fillId="0" borderId="0" xfId="196" applyAlignment="1">
      <alignment vertical="top" wrapText="1"/>
    </xf>
    <xf numFmtId="2" fontId="147" fillId="0" borderId="0" xfId="196" applyNumberFormat="1" applyFont="1" applyAlignment="1">
      <alignment vertical="top"/>
    </xf>
    <xf numFmtId="2" fontId="193" fillId="0" borderId="0" xfId="197" applyNumberFormat="1" applyFont="1" applyAlignment="1">
      <alignment vertical="top"/>
    </xf>
    <xf numFmtId="2" fontId="204" fillId="0" borderId="0" xfId="197" applyNumberFormat="1" applyFont="1" applyAlignment="1">
      <alignment vertical="top"/>
    </xf>
    <xf numFmtId="2" fontId="207" fillId="0" borderId="0" xfId="196" applyNumberFormat="1" applyFont="1" applyAlignment="1">
      <alignment vertical="top"/>
    </xf>
    <xf numFmtId="0" fontId="59" fillId="0" borderId="0" xfId="196" applyFont="1" applyAlignment="1">
      <alignment vertical="top"/>
    </xf>
    <xf numFmtId="0" fontId="106" fillId="0" borderId="0" xfId="196" applyFont="1" applyAlignment="1">
      <alignment vertical="top"/>
    </xf>
    <xf numFmtId="0" fontId="210" fillId="0" borderId="0" xfId="198" applyFont="1" applyAlignment="1" applyProtection="1">
      <alignment vertical="top"/>
    </xf>
    <xf numFmtId="0" fontId="59" fillId="5" borderId="0" xfId="199" applyFont="1" applyFill="1"/>
    <xf numFmtId="0" fontId="148" fillId="5" borderId="0" xfId="199" applyFont="1" applyFill="1"/>
    <xf numFmtId="0" fontId="102" fillId="5" borderId="0" xfId="199" applyFont="1" applyFill="1" applyAlignment="1">
      <alignment horizontal="center"/>
    </xf>
    <xf numFmtId="0" fontId="86" fillId="17" borderId="21" xfId="199" applyFont="1" applyFill="1" applyBorder="1" applyAlignment="1">
      <alignment horizontal="center" vertical="center"/>
    </xf>
    <xf numFmtId="0" fontId="86" fillId="17" borderId="21" xfId="199" applyFont="1" applyFill="1" applyBorder="1" applyAlignment="1">
      <alignment horizontal="center" vertical="center" wrapText="1"/>
    </xf>
    <xf numFmtId="0" fontId="88" fillId="5" borderId="90" xfId="200" applyFont="1" applyFill="1" applyBorder="1"/>
    <xf numFmtId="4" fontId="87" fillId="10" borderId="96" xfId="200" applyNumberFormat="1" applyFont="1" applyFill="1" applyBorder="1"/>
    <xf numFmtId="4" fontId="87" fillId="10" borderId="96" xfId="199" applyNumberFormat="1" applyFont="1" applyFill="1" applyBorder="1"/>
    <xf numFmtId="4" fontId="87" fillId="5" borderId="96" xfId="199" applyNumberFormat="1" applyFont="1" applyFill="1" applyBorder="1"/>
    <xf numFmtId="4" fontId="87" fillId="5" borderId="95" xfId="199" applyNumberFormat="1" applyFont="1" applyFill="1" applyBorder="1"/>
    <xf numFmtId="4" fontId="86" fillId="5" borderId="89" xfId="199" applyNumberFormat="1" applyFont="1" applyFill="1" applyBorder="1"/>
    <xf numFmtId="0" fontId="87" fillId="5" borderId="99" xfId="200" applyFont="1" applyFill="1" applyBorder="1" applyAlignment="1">
      <alignment wrapText="1"/>
    </xf>
    <xf numFmtId="4" fontId="87" fillId="5" borderId="92" xfId="200" applyNumberFormat="1" applyFont="1" applyFill="1" applyBorder="1"/>
    <xf numFmtId="4" fontId="88" fillId="5" borderId="92" xfId="199" applyNumberFormat="1" applyFont="1" applyFill="1" applyBorder="1"/>
    <xf numFmtId="4" fontId="87" fillId="5" borderId="92" xfId="199" applyNumberFormat="1" applyFont="1" applyFill="1" applyBorder="1"/>
    <xf numFmtId="4" fontId="100" fillId="5" borderId="91" xfId="199" applyNumberFormat="1" applyFont="1" applyFill="1" applyBorder="1"/>
    <xf numFmtId="4" fontId="102" fillId="5" borderId="0" xfId="199" applyNumberFormat="1" applyFont="1" applyFill="1" applyAlignment="1">
      <alignment horizontal="center"/>
    </xf>
    <xf numFmtId="0" fontId="86" fillId="5" borderId="13" xfId="199" applyFont="1" applyFill="1" applyBorder="1"/>
    <xf numFmtId="4" fontId="86" fillId="10" borderId="2" xfId="199" applyNumberFormat="1" applyFont="1" applyFill="1" applyBorder="1"/>
    <xf numFmtId="4" fontId="86" fillId="5" borderId="3" xfId="199" applyNumberFormat="1" applyFont="1" applyFill="1" applyBorder="1"/>
    <xf numFmtId="0" fontId="59" fillId="5" borderId="96" xfId="199" applyFont="1" applyFill="1" applyBorder="1"/>
    <xf numFmtId="0" fontId="171" fillId="5" borderId="50" xfId="200" applyFont="1" applyFill="1" applyBorder="1" applyAlignment="1">
      <alignment horizontal="center" vertical="center"/>
    </xf>
    <xf numFmtId="0" fontId="171" fillId="5" borderId="25" xfId="200" applyFont="1" applyFill="1" applyBorder="1" applyAlignment="1">
      <alignment horizontal="center" vertical="center"/>
    </xf>
    <xf numFmtId="0" fontId="171" fillId="5" borderId="49" xfId="200" applyFont="1" applyFill="1" applyBorder="1" applyAlignment="1">
      <alignment horizontal="center" vertical="center" wrapText="1"/>
    </xf>
    <xf numFmtId="0" fontId="59" fillId="10" borderId="96" xfId="199" applyFont="1" applyFill="1" applyBorder="1" applyAlignment="1">
      <alignment horizontal="left" vertical="top"/>
    </xf>
    <xf numFmtId="0" fontId="59" fillId="5" borderId="96" xfId="199" applyFont="1" applyFill="1" applyBorder="1" applyAlignment="1">
      <alignment horizontal="left" vertical="top"/>
    </xf>
    <xf numFmtId="0" fontId="89" fillId="5" borderId="96" xfId="10" applyFont="1" applyFill="1" applyBorder="1" applyAlignment="1">
      <alignment horizontal="center" vertical="center"/>
    </xf>
    <xf numFmtId="0" fontId="176" fillId="5" borderId="100" xfId="10" applyFont="1" applyFill="1" applyBorder="1" applyAlignment="1">
      <alignment vertical="center" wrapText="1"/>
    </xf>
    <xf numFmtId="0" fontId="176" fillId="5" borderId="101" xfId="10" applyFont="1" applyFill="1" applyBorder="1" applyAlignment="1">
      <alignment vertical="center" wrapText="1"/>
    </xf>
    <xf numFmtId="0" fontId="59" fillId="10" borderId="96" xfId="199" applyFont="1" applyFill="1" applyBorder="1"/>
    <xf numFmtId="4" fontId="59" fillId="5" borderId="0" xfId="199" applyNumberFormat="1" applyFont="1" applyFill="1"/>
    <xf numFmtId="0" fontId="176" fillId="5" borderId="96" xfId="10" applyFont="1" applyFill="1" applyBorder="1" applyAlignment="1">
      <alignment vertical="center" wrapText="1"/>
    </xf>
    <xf numFmtId="0" fontId="176" fillId="5" borderId="95" xfId="10" applyFont="1" applyFill="1" applyBorder="1" applyAlignment="1">
      <alignment vertical="center" wrapText="1"/>
    </xf>
    <xf numFmtId="4" fontId="176" fillId="5" borderId="89" xfId="10" applyNumberFormat="1" applyFont="1" applyFill="1" applyBorder="1" applyAlignment="1">
      <alignment horizontal="center" vertical="center"/>
    </xf>
    <xf numFmtId="0" fontId="59" fillId="22" borderId="96" xfId="199" applyFont="1" applyFill="1" applyBorder="1" applyAlignment="1">
      <alignment horizontal="left" wrapText="1"/>
    </xf>
    <xf numFmtId="0" fontId="59" fillId="22" borderId="96" xfId="199" applyFont="1" applyFill="1" applyBorder="1" applyAlignment="1">
      <alignment horizontal="left" vertical="top"/>
    </xf>
    <xf numFmtId="0" fontId="59" fillId="5" borderId="96" xfId="199" applyFont="1" applyFill="1" applyBorder="1" applyAlignment="1">
      <alignment horizontal="left" vertical="top" wrapText="1"/>
    </xf>
    <xf numFmtId="0" fontId="59" fillId="22" borderId="96" xfId="199" applyFont="1" applyFill="1" applyBorder="1" applyAlignment="1">
      <alignment horizontal="left" vertical="top" wrapText="1"/>
    </xf>
    <xf numFmtId="4" fontId="176" fillId="5" borderId="89" xfId="10" applyNumberFormat="1" applyFont="1" applyFill="1" applyBorder="1" applyAlignment="1">
      <alignment horizontal="left" vertical="center" wrapText="1"/>
    </xf>
    <xf numFmtId="0" fontId="176" fillId="5" borderId="102" xfId="10" applyFont="1" applyFill="1" applyBorder="1" applyAlignment="1">
      <alignment vertical="center" wrapText="1"/>
    </xf>
    <xf numFmtId="0" fontId="89" fillId="5" borderId="35" xfId="200" applyFont="1" applyFill="1" applyBorder="1" applyAlignment="1">
      <alignment horizontal="center"/>
    </xf>
    <xf numFmtId="0" fontId="171" fillId="5" borderId="16" xfId="200" applyFont="1" applyFill="1" applyBorder="1" applyAlignment="1">
      <alignment horizontal="right"/>
    </xf>
    <xf numFmtId="4" fontId="171" fillId="10" borderId="15" xfId="200" applyNumberFormat="1" applyFont="1" applyFill="1" applyBorder="1" applyAlignment="1">
      <alignment horizontal="center" vertical="center"/>
    </xf>
    <xf numFmtId="0" fontId="86" fillId="5" borderId="13" xfId="0" applyFont="1" applyFill="1" applyBorder="1" applyAlignment="1">
      <alignment horizontal="center"/>
    </xf>
    <xf numFmtId="0" fontId="86" fillId="5" borderId="5" xfId="0" applyFont="1" applyFill="1" applyBorder="1" applyAlignment="1">
      <alignment horizontal="center"/>
    </xf>
    <xf numFmtId="0" fontId="87" fillId="5" borderId="103" xfId="0" applyFont="1" applyFill="1" applyBorder="1" applyAlignment="1">
      <alignment horizontal="center"/>
    </xf>
    <xf numFmtId="0" fontId="87" fillId="5" borderId="98" xfId="0" applyFont="1" applyFill="1" applyBorder="1"/>
    <xf numFmtId="0" fontId="87" fillId="5" borderId="104" xfId="0" applyFont="1" applyFill="1" applyBorder="1" applyAlignment="1">
      <alignment horizontal="center"/>
    </xf>
    <xf numFmtId="0" fontId="87" fillId="5" borderId="90" xfId="0" applyFont="1" applyFill="1" applyBorder="1" applyAlignment="1">
      <alignment horizontal="center"/>
    </xf>
    <xf numFmtId="0" fontId="87" fillId="5" borderId="96" xfId="0" applyFont="1" applyFill="1" applyBorder="1"/>
    <xf numFmtId="0" fontId="87" fillId="5" borderId="89" xfId="0" applyFont="1" applyFill="1" applyBorder="1" applyAlignment="1">
      <alignment horizontal="center"/>
    </xf>
    <xf numFmtId="0" fontId="86" fillId="10" borderId="21" xfId="0" applyFont="1" applyFill="1" applyBorder="1" applyAlignment="1">
      <alignment horizontal="center"/>
    </xf>
    <xf numFmtId="0" fontId="87" fillId="5" borderId="0" xfId="0" applyFont="1" applyFill="1" applyAlignment="1">
      <alignment horizontal="center"/>
    </xf>
    <xf numFmtId="0" fontId="86" fillId="5" borderId="0" xfId="0" applyFont="1" applyFill="1" applyAlignment="1">
      <alignment horizontal="right"/>
    </xf>
    <xf numFmtId="0" fontId="86" fillId="10" borderId="0" xfId="0" applyFont="1" applyFill="1" applyAlignment="1">
      <alignment horizontal="center"/>
    </xf>
    <xf numFmtId="0" fontId="176" fillId="0" borderId="21" xfId="0" applyFont="1" applyBorder="1" applyAlignment="1">
      <alignment horizontal="center" vertical="center" wrapText="1"/>
    </xf>
    <xf numFmtId="0" fontId="176" fillId="0" borderId="5" xfId="0" applyFont="1" applyBorder="1" applyAlignment="1">
      <alignment horizontal="center" vertical="center" wrapText="1"/>
    </xf>
    <xf numFmtId="0" fontId="176" fillId="0" borderId="27" xfId="0" applyFont="1" applyBorder="1" applyAlignment="1">
      <alignment horizontal="center" vertical="center" wrapText="1"/>
    </xf>
    <xf numFmtId="0" fontId="212" fillId="0" borderId="17" xfId="0" applyFont="1" applyBorder="1" applyAlignment="1">
      <alignment vertical="center" wrapText="1"/>
    </xf>
    <xf numFmtId="0" fontId="213" fillId="0" borderId="17" xfId="0" applyFont="1" applyBorder="1" applyAlignment="1">
      <alignment vertical="center" wrapText="1"/>
    </xf>
    <xf numFmtId="0" fontId="212" fillId="0" borderId="17" xfId="0" applyFont="1" applyBorder="1" applyAlignment="1">
      <alignment horizontal="center" vertical="center" wrapText="1"/>
    </xf>
    <xf numFmtId="0" fontId="212" fillId="10" borderId="17" xfId="0" applyFont="1" applyFill="1" applyBorder="1" applyAlignment="1">
      <alignment horizontal="center" vertical="center" wrapText="1"/>
    </xf>
    <xf numFmtId="0" fontId="214" fillId="0" borderId="17" xfId="0" applyFont="1" applyBorder="1" applyAlignment="1">
      <alignment vertical="center" wrapText="1"/>
    </xf>
    <xf numFmtId="0" fontId="176" fillId="61" borderId="25" xfId="0" applyFont="1" applyFill="1" applyBorder="1" applyAlignment="1">
      <alignment vertical="center" wrapText="1"/>
    </xf>
    <xf numFmtId="0" fontId="176" fillId="61" borderId="49" xfId="0" applyFont="1" applyFill="1" applyBorder="1" applyAlignment="1">
      <alignment vertical="center" wrapText="1"/>
    </xf>
    <xf numFmtId="0" fontId="216" fillId="61" borderId="49" xfId="0" applyFont="1" applyFill="1" applyBorder="1" applyAlignment="1">
      <alignment horizontal="right" vertical="center" wrapText="1"/>
    </xf>
    <xf numFmtId="0" fontId="217" fillId="0" borderId="0" xfId="0" applyFont="1" applyAlignment="1">
      <alignment vertical="center" wrapText="1"/>
    </xf>
    <xf numFmtId="0" fontId="216" fillId="61" borderId="40" xfId="0" applyFont="1" applyFill="1" applyBorder="1" applyAlignment="1">
      <alignment vertical="center" wrapText="1"/>
    </xf>
    <xf numFmtId="0" fontId="216" fillId="61" borderId="44" xfId="0" applyFont="1" applyFill="1" applyBorder="1" applyAlignment="1">
      <alignment horizontal="center" vertical="center" wrapText="1"/>
    </xf>
    <xf numFmtId="0" fontId="216" fillId="61" borderId="44" xfId="0" applyFont="1" applyFill="1" applyBorder="1" applyAlignment="1">
      <alignment horizontal="left" vertical="center" wrapText="1" indent="1"/>
    </xf>
    <xf numFmtId="0" fontId="216" fillId="61" borderId="44" xfId="0" applyFont="1" applyFill="1" applyBorder="1" applyAlignment="1">
      <alignment horizontal="right" vertical="center" wrapText="1"/>
    </xf>
    <xf numFmtId="0" fontId="218" fillId="61" borderId="40" xfId="0" applyFont="1" applyFill="1" applyBorder="1" applyAlignment="1">
      <alignment vertical="center" wrapText="1"/>
    </xf>
    <xf numFmtId="0" fontId="218" fillId="61" borderId="44" xfId="0" applyFont="1" applyFill="1" applyBorder="1" applyAlignment="1">
      <alignment vertical="center" wrapText="1"/>
    </xf>
    <xf numFmtId="0" fontId="216" fillId="61" borderId="44" xfId="0" applyFont="1" applyFill="1" applyBorder="1" applyAlignment="1">
      <alignment vertical="center" wrapText="1"/>
    </xf>
    <xf numFmtId="0" fontId="219" fillId="61" borderId="27" xfId="0" applyFont="1" applyFill="1" applyBorder="1" applyAlignment="1">
      <alignment vertical="center" wrapText="1"/>
    </xf>
    <xf numFmtId="0" fontId="219" fillId="61" borderId="17" xfId="0" applyFont="1" applyFill="1" applyBorder="1" applyAlignment="1">
      <alignment vertical="center" wrapText="1"/>
    </xf>
    <xf numFmtId="0" fontId="220" fillId="0" borderId="27" xfId="0" applyFont="1" applyBorder="1" applyAlignment="1">
      <alignment vertical="center" wrapText="1"/>
    </xf>
    <xf numFmtId="0" fontId="220" fillId="0" borderId="17" xfId="0" applyFont="1" applyBorder="1" applyAlignment="1">
      <alignment horizontal="center" vertical="center" wrapText="1"/>
    </xf>
    <xf numFmtId="0" fontId="220" fillId="0" borderId="40" xfId="0" applyFont="1" applyBorder="1" applyAlignment="1">
      <alignment vertical="center" wrapText="1"/>
    </xf>
    <xf numFmtId="0" fontId="221" fillId="0" borderId="17" xfId="0" applyFont="1" applyBorder="1" applyAlignment="1">
      <alignment vertical="center" wrapText="1"/>
    </xf>
    <xf numFmtId="0" fontId="221" fillId="0" borderId="44" xfId="0" applyFont="1" applyBorder="1" applyAlignment="1">
      <alignment vertical="center" wrapText="1"/>
    </xf>
    <xf numFmtId="0" fontId="222" fillId="0" borderId="27" xfId="0" applyFont="1" applyBorder="1" applyAlignment="1">
      <alignment vertical="center" wrapText="1"/>
    </xf>
    <xf numFmtId="0" fontId="222" fillId="0" borderId="17" xfId="0" applyFont="1" applyBorder="1" applyAlignment="1">
      <alignment vertical="center" wrapText="1"/>
    </xf>
    <xf numFmtId="0" fontId="123" fillId="0" borderId="50" xfId="0" applyFont="1" applyBorder="1" applyAlignment="1">
      <alignment vertical="center" wrapText="1"/>
    </xf>
    <xf numFmtId="0" fontId="123" fillId="0" borderId="0" xfId="0" applyFont="1" applyAlignment="1">
      <alignment vertical="center" wrapText="1"/>
    </xf>
    <xf numFmtId="0" fontId="220" fillId="0" borderId="44" xfId="0" applyFont="1" applyBorder="1" applyAlignment="1">
      <alignment horizontal="center" vertical="center" wrapText="1"/>
    </xf>
    <xf numFmtId="0" fontId="223" fillId="0" borderId="28" xfId="0" applyFont="1" applyBorder="1" applyAlignment="1">
      <alignment vertical="center" wrapText="1"/>
    </xf>
    <xf numFmtId="0" fontId="223" fillId="0" borderId="30" xfId="0" applyFont="1" applyBorder="1" applyAlignment="1">
      <alignment vertical="center" wrapText="1"/>
    </xf>
    <xf numFmtId="0" fontId="223" fillId="0" borderId="17" xfId="0" applyFont="1" applyBorder="1" applyAlignment="1">
      <alignment vertical="center" wrapText="1"/>
    </xf>
    <xf numFmtId="0" fontId="224" fillId="0" borderId="50" xfId="0" applyFont="1" applyBorder="1" applyAlignment="1">
      <alignment vertical="center" wrapText="1"/>
    </xf>
    <xf numFmtId="0" fontId="224" fillId="0" borderId="0" xfId="0" applyFont="1" applyAlignment="1">
      <alignment vertical="center" wrapText="1"/>
    </xf>
    <xf numFmtId="0" fontId="220" fillId="0" borderId="44" xfId="0" applyFont="1" applyBorder="1" applyAlignment="1">
      <alignment horizontal="right" vertical="center" wrapText="1"/>
    </xf>
    <xf numFmtId="0" fontId="216" fillId="0" borderId="44" xfId="0" applyFont="1" applyBorder="1" applyAlignment="1">
      <alignment horizontal="center" vertical="center" wrapText="1"/>
    </xf>
    <xf numFmtId="0" fontId="176" fillId="62" borderId="45" xfId="0" applyFont="1" applyFill="1" applyBorder="1" applyAlignment="1">
      <alignment vertical="center" wrapText="1"/>
    </xf>
    <xf numFmtId="0" fontId="123" fillId="0" borderId="49" xfId="0" applyFont="1" applyBorder="1" applyAlignment="1">
      <alignment vertical="center" textRotation="90" wrapText="1"/>
    </xf>
    <xf numFmtId="0" fontId="226" fillId="0" borderId="49" xfId="0" applyFont="1" applyBorder="1" applyAlignment="1">
      <alignment horizontal="left" vertical="center" wrapText="1" indent="4"/>
    </xf>
    <xf numFmtId="0" fontId="227" fillId="0" borderId="49" xfId="0" applyFont="1" applyBorder="1" applyAlignment="1">
      <alignment horizontal="left" vertical="center" wrapText="1" indent="2"/>
    </xf>
    <xf numFmtId="0" fontId="226" fillId="0" borderId="49" xfId="0" applyFont="1" applyBorder="1" applyAlignment="1">
      <alignment horizontal="left" vertical="center" wrapText="1" indent="3"/>
    </xf>
    <xf numFmtId="0" fontId="227" fillId="0" borderId="49" xfId="0" applyFont="1" applyBorder="1" applyAlignment="1">
      <alignment vertical="center" textRotation="90" wrapText="1"/>
    </xf>
    <xf numFmtId="0" fontId="223" fillId="62" borderId="0" xfId="0" applyFont="1" applyFill="1" applyAlignment="1">
      <alignment vertical="center" wrapText="1"/>
    </xf>
    <xf numFmtId="0" fontId="223" fillId="0" borderId="44" xfId="0" applyFont="1" applyBorder="1" applyAlignment="1">
      <alignment vertical="center" wrapText="1"/>
    </xf>
    <xf numFmtId="0" fontId="228" fillId="62" borderId="0" xfId="0" applyFont="1" applyFill="1" applyAlignment="1">
      <alignment vertical="center" wrapText="1"/>
    </xf>
    <xf numFmtId="0" fontId="228" fillId="0" borderId="44" xfId="0" applyFont="1" applyBorder="1" applyAlignment="1">
      <alignment vertical="center" wrapText="1"/>
    </xf>
    <xf numFmtId="0" fontId="221" fillId="62" borderId="0" xfId="0" applyFont="1" applyFill="1" applyAlignment="1">
      <alignment vertical="center" wrapText="1"/>
    </xf>
    <xf numFmtId="0" fontId="221" fillId="63" borderId="105" xfId="0" applyFont="1" applyFill="1" applyBorder="1" applyAlignment="1">
      <alignment vertical="center" wrapText="1"/>
    </xf>
    <xf numFmtId="0" fontId="221" fillId="63" borderId="44" xfId="0" applyFont="1" applyFill="1" applyBorder="1" applyAlignment="1">
      <alignment vertical="center" wrapText="1"/>
    </xf>
    <xf numFmtId="0" fontId="176" fillId="62" borderId="30" xfId="0" applyFont="1" applyFill="1" applyBorder="1" applyAlignment="1">
      <alignment vertical="center" wrapText="1"/>
    </xf>
    <xf numFmtId="0" fontId="176" fillId="63" borderId="106" xfId="0" applyFont="1" applyFill="1" applyBorder="1" applyAlignment="1">
      <alignment vertical="center" wrapText="1"/>
    </xf>
    <xf numFmtId="0" fontId="176" fillId="63" borderId="17" xfId="0" applyFont="1" applyFill="1" applyBorder="1" applyAlignment="1">
      <alignment vertical="center" wrapText="1"/>
    </xf>
    <xf numFmtId="0" fontId="176" fillId="0" borderId="17" xfId="0" applyFont="1" applyBorder="1" applyAlignment="1">
      <alignment vertical="center" wrapText="1"/>
    </xf>
    <xf numFmtId="0" fontId="212" fillId="62" borderId="0" xfId="0" applyFont="1" applyFill="1" applyAlignment="1">
      <alignment vertical="center" wrapText="1"/>
    </xf>
    <xf numFmtId="0" fontId="229" fillId="0" borderId="44" xfId="0" applyFont="1" applyBorder="1" applyAlignment="1">
      <alignment horizontal="center" vertical="center" wrapText="1"/>
    </xf>
    <xf numFmtId="0" fontId="229" fillId="0" borderId="44" xfId="0" applyFont="1" applyBorder="1" applyAlignment="1">
      <alignment horizontal="left" vertical="center" wrapText="1" indent="7"/>
    </xf>
    <xf numFmtId="0" fontId="212" fillId="0" borderId="44" xfId="0" applyFont="1" applyBorder="1" applyAlignment="1">
      <alignment vertical="center" wrapText="1"/>
    </xf>
    <xf numFmtId="0" fontId="230" fillId="62" borderId="30" xfId="0" applyFont="1" applyFill="1" applyBorder="1" applyAlignment="1">
      <alignment vertical="center" wrapText="1"/>
    </xf>
    <xf numFmtId="0" fontId="230" fillId="0" borderId="17" xfId="0" applyFont="1" applyBorder="1" applyAlignment="1">
      <alignment vertical="center" wrapText="1"/>
    </xf>
    <xf numFmtId="0" fontId="176" fillId="62" borderId="0" xfId="0" applyFont="1" applyFill="1" applyAlignment="1">
      <alignment vertical="center" wrapText="1"/>
    </xf>
    <xf numFmtId="0" fontId="123" fillId="0" borderId="44" xfId="0" applyFont="1" applyBorder="1" applyAlignment="1">
      <alignment horizontal="center" vertical="center" wrapText="1"/>
    </xf>
    <xf numFmtId="0" fontId="176" fillId="0" borderId="44" xfId="0" applyFont="1" applyBorder="1" applyAlignment="1">
      <alignment vertical="center" wrapText="1"/>
    </xf>
    <xf numFmtId="0" fontId="123" fillId="0" borderId="44" xfId="0" applyFont="1" applyBorder="1" applyAlignment="1">
      <alignment horizontal="left" vertical="center" wrapText="1" indent="1"/>
    </xf>
    <xf numFmtId="0" fontId="231" fillId="62" borderId="0" xfId="0" applyFont="1" applyFill="1" applyAlignment="1">
      <alignment vertical="center" wrapText="1"/>
    </xf>
    <xf numFmtId="0" fontId="231" fillId="0" borderId="44" xfId="0" applyFont="1" applyBorder="1" applyAlignment="1">
      <alignment vertical="center" wrapText="1"/>
    </xf>
    <xf numFmtId="0" fontId="232" fillId="62" borderId="30" xfId="0" applyFont="1" applyFill="1" applyBorder="1" applyAlignment="1">
      <alignment vertical="center" wrapText="1"/>
    </xf>
    <xf numFmtId="0" fontId="232" fillId="0" borderId="17" xfId="0" applyFont="1" applyBorder="1" applyAlignment="1">
      <alignment vertical="center" wrapText="1"/>
    </xf>
    <xf numFmtId="0" fontId="233" fillId="0" borderId="0" xfId="0" applyFont="1" applyAlignment="1">
      <alignment vertical="center" wrapText="1"/>
    </xf>
    <xf numFmtId="0" fontId="233" fillId="0" borderId="44" xfId="0" applyFont="1" applyBorder="1" applyAlignment="1">
      <alignment vertical="center" wrapText="1"/>
    </xf>
    <xf numFmtId="0" fontId="223" fillId="0" borderId="0" xfId="0" applyFont="1" applyAlignment="1">
      <alignment vertical="center" wrapText="1"/>
    </xf>
    <xf numFmtId="0" fontId="223" fillId="0" borderId="107" xfId="0" applyFont="1" applyBorder="1" applyAlignment="1">
      <alignment vertical="center" wrapText="1"/>
    </xf>
    <xf numFmtId="0" fontId="234" fillId="0" borderId="0" xfId="0" applyFont="1" applyAlignment="1">
      <alignment vertical="center" wrapText="1"/>
    </xf>
    <xf numFmtId="0" fontId="234" fillId="0" borderId="44" xfId="0" applyFont="1" applyBorder="1" applyAlignment="1">
      <alignment vertical="center" wrapText="1"/>
    </xf>
    <xf numFmtId="0" fontId="234" fillId="0" borderId="30" xfId="0" applyFont="1" applyBorder="1" applyAlignment="1">
      <alignment vertical="center" wrapText="1"/>
    </xf>
    <xf numFmtId="0" fontId="234" fillId="0" borderId="17" xfId="0" applyFont="1" applyBorder="1" applyAlignment="1">
      <alignment vertical="center" wrapText="1"/>
    </xf>
    <xf numFmtId="0" fontId="235" fillId="0" borderId="0" xfId="0" applyFont="1" applyAlignment="1">
      <alignment vertical="center" wrapText="1"/>
    </xf>
    <xf numFmtId="0" fontId="235" fillId="0" borderId="44" xfId="0" applyFont="1" applyBorder="1" applyAlignment="1">
      <alignment vertical="center" wrapText="1"/>
    </xf>
    <xf numFmtId="0" fontId="212" fillId="0" borderId="0" xfId="0" applyFont="1" applyAlignment="1">
      <alignment vertical="center" wrapText="1"/>
    </xf>
    <xf numFmtId="0" fontId="237" fillId="0" borderId="0" xfId="0" applyFont="1" applyAlignment="1">
      <alignment vertical="center" wrapText="1"/>
    </xf>
    <xf numFmtId="0" fontId="237" fillId="64" borderId="111" xfId="0" applyFont="1" applyFill="1" applyBorder="1" applyAlignment="1">
      <alignment vertical="center" wrapText="1"/>
    </xf>
    <xf numFmtId="0" fontId="237" fillId="0" borderId="44" xfId="0" applyFont="1" applyBorder="1" applyAlignment="1">
      <alignment vertical="center" wrapText="1"/>
    </xf>
    <xf numFmtId="0" fontId="237" fillId="0" borderId="30" xfId="0" applyFont="1" applyBorder="1" applyAlignment="1">
      <alignment vertical="center" wrapText="1"/>
    </xf>
    <xf numFmtId="0" fontId="237" fillId="0" borderId="17" xfId="0" applyFont="1" applyBorder="1" applyAlignment="1">
      <alignment vertical="center" wrapText="1"/>
    </xf>
    <xf numFmtId="0" fontId="238" fillId="0" borderId="44" xfId="0" applyFont="1" applyBorder="1" applyAlignment="1">
      <alignment horizontal="right" vertical="center" wrapText="1"/>
    </xf>
    <xf numFmtId="0" fontId="222" fillId="0" borderId="0" xfId="0" applyFont="1" applyAlignment="1">
      <alignment vertical="center" wrapText="1"/>
    </xf>
    <xf numFmtId="0" fontId="222" fillId="0" borderId="44" xfId="0" applyFont="1" applyBorder="1" applyAlignment="1">
      <alignment vertical="center" wrapText="1"/>
    </xf>
    <xf numFmtId="0" fontId="222" fillId="0" borderId="30" xfId="0" applyFont="1" applyBorder="1" applyAlignment="1">
      <alignment vertical="center" wrapText="1"/>
    </xf>
    <xf numFmtId="0" fontId="239" fillId="0" borderId="0" xfId="0" applyFont="1" applyAlignment="1">
      <alignment vertical="center" wrapText="1"/>
    </xf>
    <xf numFmtId="0" fontId="239" fillId="0" borderId="44" xfId="0" applyFont="1" applyBorder="1" applyAlignment="1">
      <alignment vertical="center" wrapText="1"/>
    </xf>
    <xf numFmtId="0" fontId="5" fillId="0" borderId="0" xfId="201"/>
    <xf numFmtId="0" fontId="141" fillId="0" borderId="0" xfId="201" applyFont="1"/>
    <xf numFmtId="0" fontId="72" fillId="0" borderId="114" xfId="201" applyFont="1" applyBorder="1"/>
    <xf numFmtId="0" fontId="72" fillId="0" borderId="114" xfId="201" applyFont="1" applyBorder="1" applyAlignment="1">
      <alignment horizontal="left"/>
    </xf>
    <xf numFmtId="0" fontId="72" fillId="0" borderId="114" xfId="201" applyFont="1" applyBorder="1" applyAlignment="1">
      <alignment horizontal="right"/>
    </xf>
    <xf numFmtId="0" fontId="168" fillId="0" borderId="114" xfId="201" applyFont="1" applyBorder="1" applyAlignment="1">
      <alignment wrapText="1"/>
    </xf>
    <xf numFmtId="0" fontId="72" fillId="0" borderId="114" xfId="202" applyNumberFormat="1" applyFont="1" applyFill="1" applyBorder="1" applyAlignment="1" applyProtection="1">
      <alignment horizontal="center" vertical="center" wrapText="1"/>
    </xf>
    <xf numFmtId="0" fontId="72" fillId="0" borderId="114" xfId="201" applyFont="1" applyBorder="1" applyAlignment="1">
      <alignment horizontal="center" vertical="center" wrapText="1"/>
    </xf>
    <xf numFmtId="167" fontId="61" fillId="11" borderId="114" xfId="202" applyNumberFormat="1" applyFont="1" applyFill="1" applyBorder="1" applyAlignment="1" applyProtection="1">
      <alignment horizontal="center" vertical="center" wrapText="1"/>
    </xf>
    <xf numFmtId="167" fontId="110" fillId="0" borderId="114" xfId="202" applyNumberFormat="1" applyFont="1" applyFill="1" applyBorder="1" applyAlignment="1" applyProtection="1">
      <alignment horizontal="center" vertical="center" wrapText="1"/>
    </xf>
    <xf numFmtId="167" fontId="65" fillId="0" borderId="114" xfId="202" applyNumberFormat="1" applyFont="1" applyFill="1" applyBorder="1" applyAlignment="1" applyProtection="1">
      <alignment horizontal="center" vertical="center" wrapText="1"/>
    </xf>
    <xf numFmtId="0" fontId="73" fillId="0" borderId="114" xfId="201" applyFont="1" applyBorder="1"/>
    <xf numFmtId="0" fontId="73" fillId="0" borderId="114" xfId="201" quotePrefix="1" applyFont="1" applyBorder="1" applyAlignment="1">
      <alignment horizontal="right"/>
    </xf>
    <xf numFmtId="0" fontId="73" fillId="0" borderId="114" xfId="201" applyFont="1" applyBorder="1" applyAlignment="1">
      <alignment horizontal="center"/>
    </xf>
    <xf numFmtId="0" fontId="73" fillId="0" borderId="114" xfId="201" applyFont="1" applyBorder="1" applyAlignment="1">
      <alignment horizontal="left" vertical="center" wrapText="1"/>
    </xf>
    <xf numFmtId="167" fontId="74" fillId="11" borderId="114" xfId="19" applyNumberFormat="1" applyFont="1" applyFill="1" applyBorder="1" applyProtection="1">
      <protection locked="0"/>
    </xf>
    <xf numFmtId="167" fontId="99" fillId="12" borderId="114" xfId="19" applyNumberFormat="1" applyFont="1" applyFill="1" applyBorder="1" applyProtection="1">
      <protection locked="0"/>
    </xf>
    <xf numFmtId="167" fontId="80" fillId="12" borderId="114" xfId="19" applyNumberFormat="1" applyFont="1" applyFill="1" applyBorder="1" applyProtection="1">
      <protection locked="0"/>
    </xf>
    <xf numFmtId="0" fontId="76" fillId="8" borderId="114" xfId="201" applyFont="1" applyFill="1" applyBorder="1"/>
    <xf numFmtId="0" fontId="76" fillId="8" borderId="114" xfId="201" applyFont="1" applyFill="1" applyBorder="1" applyAlignment="1">
      <alignment horizontal="right"/>
    </xf>
    <xf numFmtId="0" fontId="76" fillId="8" borderId="114" xfId="201" applyFont="1" applyFill="1" applyBorder="1" applyAlignment="1">
      <alignment horizontal="center"/>
    </xf>
    <xf numFmtId="0" fontId="78" fillId="8" borderId="114" xfId="201" applyFont="1" applyFill="1" applyBorder="1" applyAlignment="1">
      <alignment horizontal="right" vertical="center" wrapText="1"/>
    </xf>
    <xf numFmtId="167" fontId="79" fillId="8" borderId="95" xfId="19" applyNumberFormat="1" applyFont="1" applyFill="1" applyBorder="1" applyProtection="1">
      <protection locked="0"/>
    </xf>
    <xf numFmtId="167" fontId="79" fillId="8" borderId="114" xfId="19" applyNumberFormat="1" applyFont="1" applyFill="1" applyBorder="1" applyProtection="1">
      <protection locked="0"/>
    </xf>
    <xf numFmtId="167" fontId="73" fillId="11" borderId="114" xfId="19" applyNumberFormat="1" applyFont="1" applyFill="1" applyBorder="1" applyProtection="1">
      <protection locked="0"/>
    </xf>
    <xf numFmtId="167" fontId="99" fillId="12" borderId="95" xfId="19" applyNumberFormat="1" applyFont="1" applyFill="1" applyBorder="1" applyProtection="1">
      <protection locked="0"/>
    </xf>
    <xf numFmtId="0" fontId="73" fillId="16" borderId="114" xfId="201" applyFont="1" applyFill="1" applyBorder="1"/>
    <xf numFmtId="0" fontId="73" fillId="16" borderId="114" xfId="201" applyFont="1" applyFill="1" applyBorder="1" applyAlignment="1">
      <alignment horizontal="right"/>
    </xf>
    <xf numFmtId="0" fontId="76" fillId="16" borderId="114" xfId="201" applyFont="1" applyFill="1" applyBorder="1" applyAlignment="1">
      <alignment horizontal="center"/>
    </xf>
    <xf numFmtId="167" fontId="80" fillId="16" borderId="95" xfId="19" applyNumberFormat="1" applyFont="1" applyFill="1" applyBorder="1" applyProtection="1">
      <protection locked="0"/>
    </xf>
    <xf numFmtId="167" fontId="79" fillId="16" borderId="114" xfId="19" applyNumberFormat="1" applyFont="1" applyFill="1" applyBorder="1" applyProtection="1">
      <protection locked="0"/>
    </xf>
    <xf numFmtId="0" fontId="76" fillId="8" borderId="114" xfId="201" applyFont="1" applyFill="1" applyBorder="1" applyAlignment="1">
      <alignment horizontal="left" vertical="center" wrapText="1"/>
    </xf>
    <xf numFmtId="167" fontId="77" fillId="11" borderId="114" xfId="19" applyNumberFormat="1" applyFont="1" applyFill="1" applyBorder="1" applyProtection="1">
      <protection locked="0"/>
    </xf>
    <xf numFmtId="0" fontId="141" fillId="0" borderId="0" xfId="201" applyFont="1" applyAlignment="1">
      <alignment wrapText="1"/>
    </xf>
    <xf numFmtId="0" fontId="73" fillId="18" borderId="114" xfId="201" applyFont="1" applyFill="1" applyBorder="1"/>
    <xf numFmtId="0" fontId="73" fillId="18" borderId="114" xfId="201" quotePrefix="1" applyFont="1" applyFill="1" applyBorder="1" applyAlignment="1">
      <alignment horizontal="right"/>
    </xf>
    <xf numFmtId="0" fontId="73" fillId="18" borderId="114" xfId="201" applyFont="1" applyFill="1" applyBorder="1" applyAlignment="1">
      <alignment horizontal="center"/>
    </xf>
    <xf numFmtId="0" fontId="73" fillId="18" borderId="114" xfId="201" applyFont="1" applyFill="1" applyBorder="1" applyAlignment="1">
      <alignment horizontal="left" vertical="center" wrapText="1"/>
    </xf>
    <xf numFmtId="167" fontId="73" fillId="18" borderId="114" xfId="19" applyNumberFormat="1" applyFont="1" applyFill="1" applyBorder="1" applyProtection="1">
      <protection locked="0"/>
    </xf>
    <xf numFmtId="0" fontId="177" fillId="0" borderId="0" xfId="201" applyFont="1"/>
    <xf numFmtId="0" fontId="76" fillId="18" borderId="114" xfId="201" applyFont="1" applyFill="1" applyBorder="1"/>
    <xf numFmtId="0" fontId="76" fillId="18" borderId="114" xfId="201" applyFont="1" applyFill="1" applyBorder="1" applyAlignment="1">
      <alignment horizontal="right"/>
    </xf>
    <xf numFmtId="0" fontId="76" fillId="18" borderId="114" xfId="201" applyFont="1" applyFill="1" applyBorder="1" applyAlignment="1">
      <alignment horizontal="center"/>
    </xf>
    <xf numFmtId="0" fontId="76" fillId="18" borderId="114" xfId="201" applyFont="1" applyFill="1" applyBorder="1" applyAlignment="1">
      <alignment horizontal="left" vertical="center" wrapText="1"/>
    </xf>
    <xf numFmtId="167" fontId="77" fillId="18" borderId="114" xfId="19" applyNumberFormat="1" applyFont="1" applyFill="1" applyBorder="1" applyProtection="1">
      <protection locked="0"/>
    </xf>
    <xf numFmtId="16" fontId="5" fillId="0" borderId="0" xfId="201" applyNumberFormat="1"/>
    <xf numFmtId="0" fontId="76" fillId="65" borderId="114" xfId="201" applyFont="1" applyFill="1" applyBorder="1" applyAlignment="1">
      <alignment horizontal="center"/>
    </xf>
    <xf numFmtId="0" fontId="177" fillId="0" borderId="0" xfId="201" applyFont="1" applyAlignment="1">
      <alignment wrapText="1"/>
    </xf>
    <xf numFmtId="0" fontId="242" fillId="8" borderId="114" xfId="201" applyFont="1" applyFill="1" applyBorder="1" applyAlignment="1">
      <alignment horizontal="left" vertical="center" wrapText="1"/>
    </xf>
    <xf numFmtId="0" fontId="76" fillId="8" borderId="114" xfId="201" applyFont="1" applyFill="1" applyBorder="1" applyAlignment="1">
      <alignment horizontal="left" vertical="top" wrapText="1"/>
    </xf>
    <xf numFmtId="167" fontId="77" fillId="11" borderId="114" xfId="19" applyNumberFormat="1" applyFont="1" applyFill="1" applyBorder="1" applyAlignment="1" applyProtection="1">
      <alignment vertical="top"/>
      <protection locked="0"/>
    </xf>
    <xf numFmtId="0" fontId="141" fillId="0" borderId="0" xfId="201" applyFont="1" applyAlignment="1">
      <alignment vertical="top" wrapText="1"/>
    </xf>
    <xf numFmtId="0" fontId="5" fillId="0" borderId="0" xfId="201" applyAlignment="1">
      <alignment vertical="top"/>
    </xf>
    <xf numFmtId="0" fontId="73" fillId="8" borderId="114" xfId="201" applyFont="1" applyFill="1" applyBorder="1" applyAlignment="1">
      <alignment horizontal="left" vertical="center" wrapText="1"/>
    </xf>
    <xf numFmtId="0" fontId="37" fillId="0" borderId="0" xfId="201" applyFont="1"/>
    <xf numFmtId="0" fontId="243" fillId="0" borderId="0" xfId="201" applyFont="1" applyAlignment="1">
      <alignment vertical="center"/>
    </xf>
    <xf numFmtId="0" fontId="244" fillId="0" borderId="0" xfId="0" quotePrefix="1" applyFont="1"/>
    <xf numFmtId="49" fontId="49" fillId="5" borderId="90" xfId="43" applyNumberFormat="1" applyFont="1" applyFill="1" applyBorder="1" applyAlignment="1">
      <alignment horizontal="left" indent="1"/>
    </xf>
    <xf numFmtId="43" fontId="49" fillId="5" borderId="89" xfId="1" applyFont="1" applyFill="1" applyBorder="1"/>
    <xf numFmtId="0" fontId="245" fillId="0" borderId="0" xfId="0" applyFont="1"/>
    <xf numFmtId="0" fontId="173" fillId="0" borderId="0" xfId="0" applyFont="1"/>
    <xf numFmtId="0" fontId="173" fillId="0" borderId="0" xfId="0" applyFont="1" applyAlignment="1">
      <alignment horizontal="center"/>
    </xf>
    <xf numFmtId="0" fontId="246" fillId="0" borderId="0" xfId="0" applyFont="1" applyAlignment="1">
      <alignment horizontal="center" vertical="center" wrapText="1"/>
    </xf>
    <xf numFmtId="0" fontId="240" fillId="0" borderId="0" xfId="0" applyFont="1" applyAlignment="1">
      <alignment horizontal="center" vertical="center" wrapText="1"/>
    </xf>
    <xf numFmtId="2" fontId="92" fillId="10" borderId="0" xfId="0" applyNumberFormat="1" applyFont="1" applyFill="1"/>
    <xf numFmtId="0" fontId="0" fillId="10" borderId="0" xfId="0" applyFill="1"/>
    <xf numFmtId="0" fontId="0" fillId="0" borderId="114" xfId="0" applyBorder="1" applyAlignment="1">
      <alignment wrapText="1"/>
    </xf>
    <xf numFmtId="0" fontId="0" fillId="0" borderId="114" xfId="0" applyBorder="1" applyAlignment="1">
      <alignment horizontal="center" wrapText="1"/>
    </xf>
    <xf numFmtId="0" fontId="0" fillId="0" borderId="114" xfId="0" applyBorder="1" applyAlignment="1">
      <alignment horizontal="left" wrapText="1"/>
    </xf>
    <xf numFmtId="0" fontId="59" fillId="0" borderId="114" xfId="0" applyFont="1" applyBorder="1" applyAlignment="1">
      <alignment horizontal="center" vertical="center" wrapText="1"/>
    </xf>
    <xf numFmtId="0" fontId="0" fillId="0" borderId="114" xfId="0" applyBorder="1" applyAlignment="1">
      <alignment horizontal="center" vertical="center" wrapText="1"/>
    </xf>
    <xf numFmtId="0" fontId="105" fillId="10" borderId="114" xfId="0" applyFont="1" applyFill="1" applyBorder="1"/>
    <xf numFmtId="0" fontId="53" fillId="10" borderId="114" xfId="0" applyFont="1" applyFill="1" applyBorder="1"/>
    <xf numFmtId="0" fontId="59" fillId="0" borderId="114" xfId="0" applyFont="1" applyBorder="1" applyAlignment="1">
      <alignment horizontal="left" wrapText="1"/>
    </xf>
    <xf numFmtId="0" fontId="59" fillId="10" borderId="114" xfId="0" applyFont="1" applyFill="1" applyBorder="1" applyAlignment="1">
      <alignment horizontal="center" vertical="center" wrapText="1"/>
    </xf>
    <xf numFmtId="0" fontId="0" fillId="0" borderId="117" xfId="0" applyBorder="1" applyAlignment="1">
      <alignment horizontal="center" vertical="center" wrapText="1"/>
    </xf>
    <xf numFmtId="0" fontId="105" fillId="10" borderId="114" xfId="0" applyFont="1" applyFill="1" applyBorder="1" applyAlignment="1">
      <alignment horizontal="left"/>
    </xf>
    <xf numFmtId="0" fontId="0" fillId="10" borderId="114" xfId="0" applyFill="1" applyBorder="1"/>
    <xf numFmtId="0" fontId="0" fillId="5" borderId="114" xfId="0" applyFill="1" applyBorder="1" applyAlignment="1">
      <alignment horizontal="left" wrapText="1"/>
    </xf>
    <xf numFmtId="0" fontId="92" fillId="0" borderId="114" xfId="0" applyFont="1" applyBorder="1" applyAlignment="1">
      <alignment wrapText="1"/>
    </xf>
    <xf numFmtId="0" fontId="0" fillId="10" borderId="0" xfId="0" applyFill="1" applyAlignment="1">
      <alignment horizontal="center"/>
    </xf>
    <xf numFmtId="0" fontId="0" fillId="0" borderId="114" xfId="0" applyBorder="1" applyAlignment="1">
      <alignment horizontal="right" wrapText="1"/>
    </xf>
    <xf numFmtId="0" fontId="0" fillId="0" borderId="0" xfId="0" applyAlignment="1">
      <alignment horizontal="center"/>
    </xf>
    <xf numFmtId="0" fontId="0" fillId="5" borderId="114" xfId="0" applyFill="1" applyBorder="1" applyAlignment="1">
      <alignment wrapText="1"/>
    </xf>
    <xf numFmtId="1" fontId="59" fillId="0" borderId="0" xfId="0" applyNumberFormat="1" applyFont="1" applyAlignment="1">
      <alignment horizontal="center"/>
    </xf>
    <xf numFmtId="2" fontId="4" fillId="0" borderId="0" xfId="0" applyNumberFormat="1" applyFont="1"/>
    <xf numFmtId="1" fontId="4" fillId="0" borderId="0" xfId="0" applyNumberFormat="1" applyFont="1" applyAlignment="1">
      <alignment horizontal="center"/>
    </xf>
    <xf numFmtId="0" fontId="4" fillId="0" borderId="114" xfId="0" applyFont="1" applyBorder="1" applyAlignment="1">
      <alignment horizontal="left" wrapText="1"/>
    </xf>
    <xf numFmtId="2" fontId="37" fillId="0" borderId="85" xfId="0" applyNumberFormat="1" applyFont="1" applyBorder="1" applyAlignment="1">
      <alignment vertical="center"/>
    </xf>
    <xf numFmtId="0" fontId="4" fillId="0" borderId="114" xfId="0" applyFont="1" applyBorder="1" applyAlignment="1">
      <alignment wrapText="1"/>
    </xf>
    <xf numFmtId="0" fontId="149" fillId="0" borderId="81" xfId="0" applyFont="1" applyBorder="1"/>
    <xf numFmtId="0" fontId="149" fillId="0" borderId="0" xfId="0" applyFont="1" applyAlignment="1">
      <alignment horizontal="center"/>
    </xf>
    <xf numFmtId="0" fontId="247" fillId="0" borderId="0" xfId="0" applyFont="1" applyAlignment="1">
      <alignment horizontal="center" vertical="center"/>
    </xf>
    <xf numFmtId="2" fontId="240" fillId="0" borderId="0" xfId="0" applyNumberFormat="1" applyFont="1" applyAlignment="1">
      <alignment horizontal="center" vertical="center"/>
    </xf>
    <xf numFmtId="0" fontId="59" fillId="0" borderId="0" xfId="0" applyFont="1" applyAlignment="1">
      <alignment horizontal="center" vertical="center"/>
    </xf>
    <xf numFmtId="167" fontId="61" fillId="0" borderId="0" xfId="1" applyNumberFormat="1" applyFont="1" applyAlignment="1">
      <alignment vertical="center"/>
    </xf>
    <xf numFmtId="0" fontId="63" fillId="0" borderId="0" xfId="10" applyFont="1"/>
    <xf numFmtId="0" fontId="63" fillId="0" borderId="0" xfId="10" applyFont="1" applyAlignment="1">
      <alignment wrapText="1"/>
    </xf>
    <xf numFmtId="0" fontId="63" fillId="0" borderId="0" xfId="16" applyFont="1"/>
    <xf numFmtId="0" fontId="248" fillId="0" borderId="0" xfId="10" applyFont="1"/>
    <xf numFmtId="0" fontId="249" fillId="0" borderId="0" xfId="10" applyFont="1" applyAlignment="1">
      <alignment horizontal="center" wrapText="1"/>
    </xf>
    <xf numFmtId="3" fontId="63" fillId="0" borderId="0" xfId="10" applyNumberFormat="1" applyFont="1"/>
    <xf numFmtId="0" fontId="0" fillId="0" borderId="30" xfId="0" applyBorder="1"/>
    <xf numFmtId="0" fontId="37" fillId="0" borderId="0" xfId="0" applyFont="1"/>
    <xf numFmtId="0" fontId="244" fillId="9" borderId="0" xfId="0" quotePrefix="1" applyFont="1" applyFill="1"/>
    <xf numFmtId="49" fontId="49" fillId="5" borderId="114" xfId="43" applyNumberFormat="1" applyFont="1" applyFill="1" applyBorder="1" applyAlignment="1">
      <alignment horizontal="right" wrapText="1" indent="2"/>
    </xf>
    <xf numFmtId="49" fontId="187" fillId="0" borderId="10" xfId="43" applyNumberFormat="1" applyFont="1" applyBorder="1" applyAlignment="1">
      <alignment horizontal="right" wrapText="1" indent="2"/>
    </xf>
    <xf numFmtId="9" fontId="42" fillId="3" borderId="8" xfId="2" applyFont="1" applyFill="1" applyBorder="1" applyAlignment="1">
      <alignment horizontal="right"/>
    </xf>
    <xf numFmtId="9" fontId="42" fillId="4" borderId="8" xfId="2" applyFont="1" applyFill="1" applyBorder="1" applyAlignment="1">
      <alignment horizontal="right"/>
    </xf>
    <xf numFmtId="9" fontId="38" fillId="0" borderId="11" xfId="2" applyFont="1" applyFill="1" applyBorder="1" applyAlignment="1">
      <alignment horizontal="right"/>
    </xf>
    <xf numFmtId="9" fontId="42" fillId="4" borderId="11" xfId="2" applyFont="1" applyFill="1" applyBorder="1" applyAlignment="1">
      <alignment horizontal="right"/>
    </xf>
    <xf numFmtId="9" fontId="38" fillId="0" borderId="11" xfId="2" applyFont="1" applyBorder="1" applyAlignment="1">
      <alignment horizontal="right"/>
    </xf>
    <xf numFmtId="9" fontId="38" fillId="0" borderId="12" xfId="2" applyFont="1" applyFill="1" applyBorder="1" applyAlignment="1">
      <alignment horizontal="right"/>
    </xf>
    <xf numFmtId="9" fontId="38" fillId="3" borderId="11" xfId="2" applyFont="1" applyFill="1" applyBorder="1" applyAlignment="1">
      <alignment horizontal="right"/>
    </xf>
    <xf numFmtId="9" fontId="38" fillId="0" borderId="73" xfId="2" applyFont="1" applyFill="1" applyBorder="1" applyAlignment="1">
      <alignment horizontal="right"/>
    </xf>
    <xf numFmtId="9" fontId="38" fillId="0" borderId="75" xfId="2" applyFont="1" applyFill="1" applyBorder="1" applyAlignment="1">
      <alignment horizontal="right"/>
    </xf>
    <xf numFmtId="9" fontId="42" fillId="0" borderId="15" xfId="2" applyFont="1" applyBorder="1" applyAlignment="1">
      <alignment horizontal="right"/>
    </xf>
    <xf numFmtId="43" fontId="0" fillId="0" borderId="0" xfId="1" applyFont="1" applyAlignment="1">
      <alignment horizontal="right"/>
    </xf>
    <xf numFmtId="43" fontId="39" fillId="0" borderId="0" xfId="1" applyFont="1" applyAlignment="1">
      <alignment horizontal="right"/>
    </xf>
    <xf numFmtId="9" fontId="126" fillId="5" borderId="11" xfId="2" applyFont="1" applyFill="1" applyBorder="1" applyAlignment="1">
      <alignment horizontal="right"/>
    </xf>
    <xf numFmtId="9" fontId="138" fillId="5" borderId="11" xfId="2" applyFont="1" applyFill="1" applyBorder="1" applyAlignment="1">
      <alignment horizontal="right"/>
    </xf>
    <xf numFmtId="9" fontId="169" fillId="5" borderId="11" xfId="2" applyFont="1" applyFill="1" applyBorder="1" applyAlignment="1">
      <alignment horizontal="right"/>
    </xf>
    <xf numFmtId="9" fontId="187" fillId="5" borderId="11" xfId="2" applyFont="1" applyFill="1" applyBorder="1" applyAlignment="1">
      <alignment horizontal="right"/>
    </xf>
    <xf numFmtId="9" fontId="42" fillId="4" borderId="20" xfId="2" applyFont="1" applyFill="1" applyBorder="1" applyAlignment="1">
      <alignment horizontal="right"/>
    </xf>
    <xf numFmtId="9" fontId="38" fillId="5" borderId="11" xfId="2" applyFont="1" applyFill="1" applyBorder="1" applyAlignment="1">
      <alignment horizontal="right"/>
    </xf>
    <xf numFmtId="9" fontId="49" fillId="5" borderId="11" xfId="2" applyFont="1" applyFill="1" applyBorder="1" applyAlignment="1">
      <alignment horizontal="right"/>
    </xf>
    <xf numFmtId="9" fontId="166" fillId="5" borderId="11" xfId="2" applyFont="1" applyFill="1" applyBorder="1" applyAlignment="1">
      <alignment horizontal="right"/>
    </xf>
    <xf numFmtId="9" fontId="188" fillId="5" borderId="11" xfId="2" applyFont="1" applyFill="1" applyBorder="1" applyAlignment="1">
      <alignment horizontal="right"/>
    </xf>
    <xf numFmtId="9" fontId="42" fillId="3" borderId="11" xfId="2" applyFont="1" applyFill="1" applyBorder="1" applyAlignment="1">
      <alignment horizontal="right"/>
    </xf>
    <xf numFmtId="9" fontId="128" fillId="3" borderId="11" xfId="2" applyFont="1" applyFill="1" applyBorder="1" applyAlignment="1">
      <alignment horizontal="right"/>
    </xf>
    <xf numFmtId="9" fontId="52" fillId="5" borderId="11" xfId="2" applyFont="1" applyFill="1" applyBorder="1" applyAlignment="1">
      <alignment horizontal="right"/>
    </xf>
    <xf numFmtId="9" fontId="165" fillId="5" borderId="11" xfId="2" applyFont="1" applyFill="1" applyBorder="1" applyAlignment="1">
      <alignment horizontal="right"/>
    </xf>
    <xf numFmtId="9" fontId="187" fillId="5" borderId="73" xfId="2" applyFont="1" applyFill="1" applyBorder="1" applyAlignment="1">
      <alignment horizontal="right"/>
    </xf>
    <xf numFmtId="9" fontId="52" fillId="5" borderId="54" xfId="2" applyFont="1" applyFill="1" applyBorder="1" applyAlignment="1">
      <alignment horizontal="right"/>
    </xf>
    <xf numFmtId="9" fontId="52" fillId="0" borderId="11" xfId="2" applyFont="1" applyBorder="1" applyAlignment="1">
      <alignment horizontal="right"/>
    </xf>
    <xf numFmtId="9" fontId="52" fillId="3" borderId="11" xfId="2" applyFont="1" applyFill="1" applyBorder="1" applyAlignment="1">
      <alignment horizontal="right"/>
    </xf>
    <xf numFmtId="9" fontId="38" fillId="5" borderId="54" xfId="2" applyFont="1" applyFill="1" applyBorder="1" applyAlignment="1">
      <alignment horizontal="right"/>
    </xf>
    <xf numFmtId="9" fontId="126" fillId="0" borderId="11" xfId="2" applyFont="1" applyBorder="1" applyAlignment="1">
      <alignment horizontal="right"/>
    </xf>
    <xf numFmtId="9" fontId="187" fillId="0" borderId="11" xfId="2" applyFont="1" applyBorder="1" applyAlignment="1">
      <alignment horizontal="right"/>
    </xf>
    <xf numFmtId="9" fontId="50" fillId="3" borderId="11" xfId="2" applyFont="1" applyFill="1" applyBorder="1" applyAlignment="1">
      <alignment horizontal="right"/>
    </xf>
    <xf numFmtId="9" fontId="91" fillId="0" borderId="11" xfId="2" applyFont="1" applyBorder="1" applyAlignment="1">
      <alignment horizontal="right"/>
    </xf>
    <xf numFmtId="9" fontId="42" fillId="0" borderId="0" xfId="2" applyFont="1" applyFill="1" applyBorder="1" applyAlignment="1">
      <alignment horizontal="right"/>
    </xf>
    <xf numFmtId="9" fontId="183" fillId="0" borderId="0" xfId="2" applyFont="1" applyFill="1" applyBorder="1" applyAlignment="1">
      <alignment horizontal="right"/>
    </xf>
    <xf numFmtId="43" fontId="147" fillId="16" borderId="96" xfId="1" applyFont="1" applyFill="1" applyBorder="1" applyAlignment="1">
      <alignment vertical="top"/>
    </xf>
    <xf numFmtId="43" fontId="193" fillId="16" borderId="96" xfId="1" applyFont="1" applyFill="1" applyBorder="1" applyAlignment="1">
      <alignment vertical="top"/>
    </xf>
    <xf numFmtId="43" fontId="147" fillId="60" borderId="96" xfId="1" applyFont="1" applyFill="1" applyBorder="1" applyAlignment="1">
      <alignment vertical="top"/>
    </xf>
    <xf numFmtId="43" fontId="193" fillId="60" borderId="96" xfId="1" applyFont="1" applyFill="1" applyBorder="1" applyAlignment="1">
      <alignment vertical="top"/>
    </xf>
    <xf numFmtId="43" fontId="147" fillId="60" borderId="38" xfId="1" applyFont="1" applyFill="1" applyBorder="1" applyAlignment="1">
      <alignment vertical="top"/>
    </xf>
    <xf numFmtId="43" fontId="147" fillId="24" borderId="97" xfId="1" applyFont="1" applyFill="1" applyBorder="1" applyAlignment="1">
      <alignment vertical="top"/>
    </xf>
    <xf numFmtId="43" fontId="197" fillId="24" borderId="97" xfId="1" applyFont="1" applyFill="1" applyBorder="1" applyAlignment="1">
      <alignment vertical="top"/>
    </xf>
    <xf numFmtId="43" fontId="193" fillId="60" borderId="95" xfId="1" applyFont="1" applyFill="1" applyBorder="1" applyAlignment="1">
      <alignment vertical="top"/>
    </xf>
    <xf numFmtId="43" fontId="147" fillId="16" borderId="98" xfId="1" applyFont="1" applyFill="1" applyBorder="1" applyAlignment="1">
      <alignment vertical="top"/>
    </xf>
    <xf numFmtId="43" fontId="193" fillId="16" borderId="98" xfId="1" applyFont="1" applyFill="1" applyBorder="1" applyAlignment="1">
      <alignment vertical="top"/>
    </xf>
    <xf numFmtId="43" fontId="146" fillId="60" borderId="0" xfId="1" applyFont="1" applyFill="1" applyAlignment="1">
      <alignment vertical="top"/>
    </xf>
    <xf numFmtId="43" fontId="147" fillId="21" borderId="96" xfId="1" applyFont="1" applyFill="1" applyBorder="1" applyAlignment="1">
      <alignment vertical="top"/>
    </xf>
    <xf numFmtId="43" fontId="193" fillId="21" borderId="96" xfId="1" applyFont="1" applyFill="1" applyBorder="1" applyAlignment="1">
      <alignment vertical="top"/>
    </xf>
    <xf numFmtId="43" fontId="147" fillId="60" borderId="0" xfId="1" applyFont="1" applyFill="1" applyAlignment="1">
      <alignment vertical="top"/>
    </xf>
    <xf numFmtId="43" fontId="146" fillId="60" borderId="96" xfId="1" applyFont="1" applyFill="1" applyBorder="1" applyAlignment="1">
      <alignment vertical="top"/>
    </xf>
    <xf numFmtId="43" fontId="147" fillId="24" borderId="96" xfId="1" applyFont="1" applyFill="1" applyBorder="1" applyAlignment="1">
      <alignment vertical="top"/>
    </xf>
    <xf numFmtId="43" fontId="197" fillId="24" borderId="96" xfId="1" applyFont="1" applyFill="1" applyBorder="1" applyAlignment="1">
      <alignment vertical="top"/>
    </xf>
    <xf numFmtId="43" fontId="147" fillId="11" borderId="96" xfId="1" applyFont="1" applyFill="1" applyBorder="1" applyAlignment="1">
      <alignment vertical="top"/>
    </xf>
    <xf numFmtId="43" fontId="193" fillId="11" borderId="96" xfId="1" applyFont="1" applyFill="1" applyBorder="1" applyAlignment="1">
      <alignment vertical="top"/>
    </xf>
    <xf numFmtId="43" fontId="193" fillId="60" borderId="0" xfId="1" applyFont="1" applyFill="1" applyAlignment="1">
      <alignment vertical="top"/>
    </xf>
    <xf numFmtId="43" fontId="147" fillId="11" borderId="96" xfId="1" quotePrefix="1" applyFont="1" applyFill="1" applyBorder="1" applyAlignment="1">
      <alignment vertical="top"/>
    </xf>
    <xf numFmtId="43" fontId="201" fillId="13" borderId="96" xfId="1" applyFont="1" applyFill="1" applyBorder="1" applyAlignment="1">
      <alignment vertical="top"/>
    </xf>
    <xf numFmtId="43" fontId="202" fillId="13" borderId="96" xfId="1" applyFont="1" applyFill="1" applyBorder="1" applyAlignment="1">
      <alignment vertical="top" wrapText="1"/>
    </xf>
    <xf numFmtId="167" fontId="244" fillId="0" borderId="0" xfId="1" quotePrefix="1" applyNumberFormat="1" applyFont="1"/>
    <xf numFmtId="49" fontId="39" fillId="5" borderId="70" xfId="43" applyNumberFormat="1" applyFont="1" applyFill="1" applyBorder="1" applyAlignment="1">
      <alignment horizontal="right" wrapText="1" indent="2"/>
    </xf>
    <xf numFmtId="167" fontId="251" fillId="0" borderId="0" xfId="0" quotePrefix="1" applyNumberFormat="1" applyFont="1"/>
    <xf numFmtId="167" fontId="251" fillId="0" borderId="0" xfId="1" quotePrefix="1" applyNumberFormat="1" applyFont="1"/>
    <xf numFmtId="0" fontId="107" fillId="0" borderId="0" xfId="0" applyFont="1"/>
    <xf numFmtId="0" fontId="97" fillId="0" borderId="0" xfId="0" applyFont="1"/>
    <xf numFmtId="0" fontId="190" fillId="0" borderId="0" xfId="0" applyFont="1"/>
    <xf numFmtId="3" fontId="39" fillId="3" borderId="11" xfId="3" applyNumberFormat="1" applyFont="1" applyFill="1" applyBorder="1"/>
    <xf numFmtId="3" fontId="45" fillId="3" borderId="11" xfId="3" applyNumberFormat="1" applyFont="1" applyFill="1" applyBorder="1"/>
    <xf numFmtId="3" fontId="129" fillId="5" borderId="11" xfId="3" applyNumberFormat="1" applyFont="1" applyFill="1" applyBorder="1"/>
    <xf numFmtId="3" fontId="39" fillId="5" borderId="73" xfId="3" applyNumberFormat="1" applyFont="1" applyFill="1" applyBorder="1"/>
    <xf numFmtId="3" fontId="47" fillId="3" borderId="11" xfId="3" applyNumberFormat="1" applyFont="1" applyFill="1" applyBorder="1"/>
    <xf numFmtId="3" fontId="47" fillId="5" borderId="11" xfId="3" applyNumberFormat="1" applyFont="1" applyFill="1" applyBorder="1"/>
    <xf numFmtId="0" fontId="0" fillId="59" borderId="0" xfId="0" applyFill="1"/>
    <xf numFmtId="0" fontId="252" fillId="59" borderId="116" xfId="0" applyFont="1" applyFill="1" applyBorder="1"/>
    <xf numFmtId="0" fontId="59" fillId="59" borderId="0" xfId="0" applyFont="1" applyFill="1" applyAlignment="1">
      <alignment horizontal="center" vertical="center"/>
    </xf>
    <xf numFmtId="0" fontId="0" fillId="59" borderId="0" xfId="0" applyFill="1" applyAlignment="1">
      <alignment horizontal="center" vertical="center"/>
    </xf>
    <xf numFmtId="2" fontId="92" fillId="59" borderId="0" xfId="0" applyNumberFormat="1" applyFont="1" applyFill="1"/>
    <xf numFmtId="0" fontId="0" fillId="59" borderId="114" xfId="0" applyFill="1" applyBorder="1" applyAlignment="1">
      <alignment horizontal="center" vertical="center"/>
    </xf>
    <xf numFmtId="0" fontId="0" fillId="59" borderId="114" xfId="0" applyFill="1" applyBorder="1" applyAlignment="1">
      <alignment horizontal="left" wrapText="1"/>
    </xf>
    <xf numFmtId="0" fontId="0" fillId="59" borderId="114" xfId="0" applyFill="1" applyBorder="1" applyAlignment="1">
      <alignment horizontal="center"/>
    </xf>
    <xf numFmtId="0" fontId="0" fillId="59" borderId="114" xfId="0" applyFill="1" applyBorder="1"/>
    <xf numFmtId="0" fontId="59" fillId="59" borderId="114" xfId="0" applyFont="1" applyFill="1" applyBorder="1" applyAlignment="1">
      <alignment horizontal="center" vertical="center"/>
    </xf>
    <xf numFmtId="0" fontId="37" fillId="59" borderId="114" xfId="0" applyFont="1" applyFill="1" applyBorder="1" applyAlignment="1">
      <alignment horizontal="center" vertical="center"/>
    </xf>
    <xf numFmtId="0" fontId="0" fillId="59" borderId="114" xfId="0" applyFill="1" applyBorder="1" applyAlignment="1">
      <alignment wrapText="1"/>
    </xf>
    <xf numFmtId="0" fontId="0" fillId="59" borderId="0" xfId="0" applyFill="1" applyAlignment="1">
      <alignment horizontal="center"/>
    </xf>
    <xf numFmtId="0" fontId="245" fillId="0" borderId="121" xfId="0" applyFont="1" applyBorder="1"/>
    <xf numFmtId="0" fontId="0" fillId="10" borderId="114" xfId="0" applyFill="1" applyBorder="1" applyAlignment="1">
      <alignment horizontal="center" wrapText="1"/>
    </xf>
    <xf numFmtId="0" fontId="149" fillId="10" borderId="114" xfId="0" applyFont="1" applyFill="1" applyBorder="1"/>
    <xf numFmtId="0" fontId="149" fillId="10" borderId="114" xfId="0" applyFont="1" applyFill="1" applyBorder="1" applyAlignment="1">
      <alignment horizontal="center"/>
    </xf>
    <xf numFmtId="0" fontId="247" fillId="10" borderId="114" xfId="0" applyFont="1" applyFill="1" applyBorder="1" applyAlignment="1">
      <alignment horizontal="center" vertical="center"/>
    </xf>
    <xf numFmtId="2" fontId="240" fillId="10" borderId="114" xfId="0" applyNumberFormat="1" applyFont="1" applyFill="1" applyBorder="1" applyAlignment="1">
      <alignment horizontal="center" vertical="center"/>
    </xf>
    <xf numFmtId="0" fontId="0" fillId="10" borderId="114" xfId="0" applyFill="1" applyBorder="1" applyAlignment="1">
      <alignment horizontal="center"/>
    </xf>
    <xf numFmtId="0" fontId="0" fillId="10" borderId="115" xfId="0" applyFill="1" applyBorder="1" applyAlignment="1">
      <alignment horizontal="left"/>
    </xf>
    <xf numFmtId="0" fontId="0" fillId="10" borderId="119" xfId="0" applyFill="1" applyBorder="1" applyAlignment="1">
      <alignment wrapText="1"/>
    </xf>
    <xf numFmtId="0" fontId="59" fillId="10" borderId="114" xfId="0" applyFont="1" applyFill="1" applyBorder="1" applyAlignment="1">
      <alignment horizontal="center" vertical="center"/>
    </xf>
    <xf numFmtId="0" fontId="0" fillId="10" borderId="114" xfId="0" applyFill="1" applyBorder="1" applyAlignment="1">
      <alignment horizontal="center" vertical="center"/>
    </xf>
    <xf numFmtId="0" fontId="0" fillId="59" borderId="115" xfId="0" applyFill="1" applyBorder="1" applyAlignment="1">
      <alignment horizontal="left"/>
    </xf>
    <xf numFmtId="0" fontId="0" fillId="59" borderId="119" xfId="0" applyFill="1" applyBorder="1" applyAlignment="1">
      <alignment wrapText="1"/>
    </xf>
    <xf numFmtId="0" fontId="0" fillId="59" borderId="0" xfId="0" applyFill="1" applyAlignment="1">
      <alignment wrapText="1"/>
    </xf>
    <xf numFmtId="0" fontId="0" fillId="10" borderId="114" xfId="0" applyFill="1" applyBorder="1" applyAlignment="1">
      <alignment horizontal="left" wrapText="1"/>
    </xf>
    <xf numFmtId="0" fontId="149" fillId="0" borderId="114" xfId="0" applyFont="1" applyBorder="1" applyAlignment="1">
      <alignment wrapText="1"/>
    </xf>
    <xf numFmtId="0" fontId="247" fillId="0" borderId="114" xfId="0" applyFont="1" applyBorder="1" applyAlignment="1">
      <alignment horizontal="center" vertical="center" wrapText="1"/>
    </xf>
    <xf numFmtId="2" fontId="253" fillId="0" borderId="114" xfId="0" applyNumberFormat="1" applyFont="1" applyBorder="1" applyAlignment="1">
      <alignment horizontal="center" vertical="center"/>
    </xf>
    <xf numFmtId="0" fontId="149" fillId="0" borderId="0" xfId="0" applyFont="1" applyAlignment="1">
      <alignment wrapText="1"/>
    </xf>
    <xf numFmtId="0" fontId="0" fillId="0" borderId="114" xfId="0" applyBorder="1" applyAlignment="1">
      <alignment horizontal="center"/>
    </xf>
    <xf numFmtId="0" fontId="149" fillId="10" borderId="114" xfId="0" applyFont="1" applyFill="1" applyBorder="1" applyAlignment="1">
      <alignment wrapText="1"/>
    </xf>
    <xf numFmtId="0" fontId="247" fillId="10" borderId="114" xfId="0" applyFont="1" applyFill="1" applyBorder="1" applyAlignment="1">
      <alignment horizontal="center" vertical="center" wrapText="1"/>
    </xf>
    <xf numFmtId="2" fontId="253" fillId="10" borderId="114" xfId="0" applyNumberFormat="1" applyFont="1" applyFill="1" applyBorder="1" applyAlignment="1">
      <alignment horizontal="center" vertical="center"/>
    </xf>
    <xf numFmtId="2" fontId="253" fillId="0" borderId="114" xfId="0" applyNumberFormat="1" applyFont="1" applyBorder="1" applyAlignment="1">
      <alignment horizontal="center" vertical="center" wrapText="1"/>
    </xf>
    <xf numFmtId="0" fontId="149" fillId="0" borderId="114" xfId="0" applyFont="1" applyBorder="1"/>
    <xf numFmtId="0" fontId="247" fillId="0" borderId="114" xfId="0" applyFont="1" applyBorder="1" applyAlignment="1">
      <alignment horizontal="center" vertical="center"/>
    </xf>
    <xf numFmtId="2" fontId="240" fillId="0" borderId="114" xfId="0" applyNumberFormat="1" applyFont="1" applyBorder="1" applyAlignment="1">
      <alignment horizontal="center" vertical="center"/>
    </xf>
    <xf numFmtId="0" fontId="37" fillId="0" borderId="114" xfId="0" applyFont="1" applyBorder="1" applyAlignment="1">
      <alignment horizontal="center" vertical="center"/>
    </xf>
    <xf numFmtId="0" fontId="92" fillId="0" borderId="0" xfId="0" applyFont="1"/>
    <xf numFmtId="0" fontId="0" fillId="0" borderId="114" xfId="0" applyBorder="1" applyAlignment="1">
      <alignment vertical="center" wrapText="1"/>
    </xf>
    <xf numFmtId="0" fontId="37" fillId="0" borderId="114" xfId="0" applyFont="1" applyBorder="1" applyAlignment="1">
      <alignment horizontal="center" vertical="center" wrapText="1"/>
    </xf>
    <xf numFmtId="0" fontId="92" fillId="0" borderId="119" xfId="0" applyFont="1" applyBorder="1"/>
    <xf numFmtId="0" fontId="59" fillId="0" borderId="114" xfId="0" applyFont="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left" wrapText="1"/>
    </xf>
    <xf numFmtId="0" fontId="0" fillId="0" borderId="119" xfId="0" applyBorder="1" applyAlignment="1">
      <alignment wrapText="1"/>
    </xf>
    <xf numFmtId="0" fontId="59" fillId="10" borderId="114" xfId="0" applyFont="1" applyFill="1" applyBorder="1" applyAlignment="1">
      <alignment vertical="center" wrapText="1"/>
    </xf>
    <xf numFmtId="0" fontId="0" fillId="10" borderId="114" xfId="0" applyFill="1" applyBorder="1" applyAlignment="1">
      <alignment wrapText="1"/>
    </xf>
    <xf numFmtId="0" fontId="37" fillId="10" borderId="114" xfId="0" applyFont="1" applyFill="1" applyBorder="1" applyAlignment="1">
      <alignment horizontal="center" vertical="center"/>
    </xf>
    <xf numFmtId="0" fontId="59" fillId="0" borderId="114" xfId="0" applyFont="1" applyBorder="1" applyAlignment="1">
      <alignment vertical="center" wrapText="1"/>
    </xf>
    <xf numFmtId="0" fontId="37" fillId="0" borderId="114" xfId="0" applyFont="1" applyBorder="1" applyAlignment="1">
      <alignment horizontal="center" wrapText="1"/>
    </xf>
    <xf numFmtId="0" fontId="59" fillId="0" borderId="114" xfId="0" applyFont="1" applyBorder="1" applyAlignment="1">
      <alignment wrapText="1"/>
    </xf>
    <xf numFmtId="0" fontId="37" fillId="5" borderId="114" xfId="0" applyFont="1" applyFill="1" applyBorder="1" applyAlignment="1">
      <alignment horizontal="center" vertical="center"/>
    </xf>
    <xf numFmtId="0" fontId="59" fillId="10" borderId="114" xfId="0" applyFont="1" applyFill="1" applyBorder="1" applyAlignment="1">
      <alignment horizontal="left" vertical="center" wrapText="1"/>
    </xf>
    <xf numFmtId="0" fontId="37" fillId="10" borderId="114" xfId="0" applyFont="1" applyFill="1" applyBorder="1" applyAlignment="1">
      <alignment horizontal="center" wrapText="1"/>
    </xf>
    <xf numFmtId="0" fontId="59" fillId="10" borderId="114" xfId="0" applyFont="1" applyFill="1" applyBorder="1" applyAlignment="1">
      <alignment wrapText="1"/>
    </xf>
    <xf numFmtId="0" fontId="59" fillId="10" borderId="114" xfId="0" applyFont="1" applyFill="1" applyBorder="1" applyAlignment="1">
      <alignment horizontal="center" wrapText="1"/>
    </xf>
    <xf numFmtId="0" fontId="0" fillId="0" borderId="114" xfId="0" applyBorder="1"/>
    <xf numFmtId="0" fontId="0" fillId="5" borderId="114" xfId="0" applyFill="1" applyBorder="1" applyAlignment="1">
      <alignment horizontal="center" vertical="center"/>
    </xf>
    <xf numFmtId="0" fontId="59" fillId="0" borderId="114" xfId="0" applyFont="1" applyBorder="1" applyAlignment="1">
      <alignment horizontal="center" wrapText="1"/>
    </xf>
    <xf numFmtId="167" fontId="38" fillId="5" borderId="89" xfId="1" quotePrefix="1" applyNumberFormat="1" applyFont="1" applyFill="1" applyBorder="1" applyAlignment="1">
      <alignment wrapText="1"/>
    </xf>
    <xf numFmtId="167" fontId="251" fillId="9" borderId="0" xfId="1" quotePrefix="1" applyNumberFormat="1" applyFont="1" applyFill="1"/>
    <xf numFmtId="43" fontId="38" fillId="5" borderId="89" xfId="1" applyFont="1" applyFill="1" applyBorder="1"/>
    <xf numFmtId="167" fontId="251" fillId="0" borderId="0" xfId="1" quotePrefix="1" applyNumberFormat="1" applyFont="1" applyFill="1"/>
    <xf numFmtId="49" fontId="38" fillId="5" borderId="122" xfId="43" applyNumberFormat="1" applyFont="1" applyFill="1" applyBorder="1" applyAlignment="1">
      <alignment horizontal="right" wrapText="1" indent="2"/>
    </xf>
    <xf numFmtId="167" fontId="38" fillId="5" borderId="11" xfId="1" quotePrefix="1" applyNumberFormat="1" applyFont="1" applyFill="1" applyBorder="1"/>
    <xf numFmtId="167" fontId="52" fillId="5" borderId="89" xfId="1" quotePrefix="1" applyNumberFormat="1" applyFont="1" applyFill="1" applyBorder="1"/>
    <xf numFmtId="0" fontId="38" fillId="3" borderId="90" xfId="43" applyFont="1" applyFill="1" applyBorder="1" applyAlignment="1">
      <alignment horizontal="left" indent="1"/>
    </xf>
    <xf numFmtId="0" fontId="38" fillId="3" borderId="122" xfId="43" applyFont="1" applyFill="1" applyBorder="1" applyAlignment="1">
      <alignment horizontal="left" wrapText="1" indent="2"/>
    </xf>
    <xf numFmtId="9" fontId="38" fillId="3" borderId="89" xfId="2" applyFont="1" applyFill="1" applyBorder="1" applyAlignment="1">
      <alignment horizontal="right"/>
    </xf>
    <xf numFmtId="0" fontId="254" fillId="0" borderId="0" xfId="0" applyFont="1" applyAlignment="1">
      <alignment vertical="center" wrapText="1"/>
    </xf>
    <xf numFmtId="0" fontId="255" fillId="0" borderId="0" xfId="0" applyFont="1" applyAlignment="1">
      <alignment horizontal="center" vertical="center" wrapText="1"/>
    </xf>
    <xf numFmtId="0" fontId="255" fillId="10" borderId="0" xfId="0" applyFont="1" applyFill="1" applyAlignment="1">
      <alignment horizontal="center" vertical="center" wrapText="1"/>
    </xf>
    <xf numFmtId="0" fontId="176" fillId="0" borderId="0" xfId="0" applyFont="1" applyAlignment="1">
      <alignment vertical="center" wrapText="1"/>
    </xf>
    <xf numFmtId="0" fontId="255" fillId="10" borderId="0" xfId="0" applyFont="1" applyFill="1"/>
    <xf numFmtId="0" fontId="255" fillId="0" borderId="124" xfId="0" applyFont="1" applyBorder="1" applyAlignment="1">
      <alignment vertical="center" wrapText="1"/>
    </xf>
    <xf numFmtId="0" fontId="255" fillId="0" borderId="124" xfId="0" applyFont="1" applyBorder="1" applyAlignment="1">
      <alignment horizontal="center" vertical="center" wrapText="1"/>
    </xf>
    <xf numFmtId="0" fontId="176" fillId="0" borderId="124" xfId="0" applyFont="1" applyBorder="1" applyAlignment="1">
      <alignment vertical="center" wrapText="1"/>
    </xf>
    <xf numFmtId="0" fontId="255" fillId="10" borderId="124" xfId="0" applyFont="1" applyFill="1" applyBorder="1"/>
    <xf numFmtId="0" fontId="218" fillId="0" borderId="125" xfId="0" applyFont="1" applyBorder="1" applyAlignment="1">
      <alignment vertical="center" wrapText="1"/>
    </xf>
    <xf numFmtId="0" fontId="218" fillId="0" borderId="0" xfId="0" applyFont="1" applyAlignment="1">
      <alignment vertical="center" wrapText="1"/>
    </xf>
    <xf numFmtId="0" fontId="218" fillId="0" borderId="126" xfId="0" applyFont="1" applyBorder="1" applyAlignment="1">
      <alignment vertical="center" wrapText="1"/>
    </xf>
    <xf numFmtId="0" fontId="255" fillId="0" borderId="126" xfId="0" applyFont="1" applyBorder="1" applyAlignment="1">
      <alignment horizontal="center" vertical="center" wrapText="1"/>
    </xf>
    <xf numFmtId="43" fontId="39" fillId="0" borderId="11" xfId="1" applyFont="1" applyFill="1" applyBorder="1"/>
    <xf numFmtId="0" fontId="211" fillId="0" borderId="0" xfId="205">
      <alignment horizontal="left" wrapText="1"/>
    </xf>
    <xf numFmtId="0" fontId="147" fillId="0" borderId="0" xfId="207">
      <alignment horizontal="left" wrapText="1"/>
    </xf>
    <xf numFmtId="0" fontId="258" fillId="0" borderId="0" xfId="208">
      <alignment vertical="top" wrapText="1"/>
    </xf>
    <xf numFmtId="0" fontId="182" fillId="0" borderId="0" xfId="209">
      <alignment horizontal="right" indent="1"/>
    </xf>
    <xf numFmtId="14" fontId="0" fillId="0" borderId="0" xfId="210" applyFont="1">
      <alignment horizontal="left"/>
    </xf>
    <xf numFmtId="173" fontId="0" fillId="0" borderId="0" xfId="211" applyFont="1">
      <alignment horizontal="left" vertical="top" wrapText="1"/>
    </xf>
    <xf numFmtId="0" fontId="182" fillId="0" borderId="0" xfId="212">
      <alignment horizontal="left" vertical="top"/>
    </xf>
    <xf numFmtId="0" fontId="259" fillId="0" borderId="0" xfId="213" applyAlignment="1"/>
    <xf numFmtId="0" fontId="259" fillId="0" borderId="0" xfId="213">
      <alignment horizontal="right" indent="1"/>
    </xf>
    <xf numFmtId="0" fontId="147" fillId="0" borderId="0" xfId="207" applyAlignment="1">
      <alignment horizontal="center" vertical="center"/>
    </xf>
    <xf numFmtId="0" fontId="147" fillId="0" borderId="0" xfId="207" applyAlignment="1">
      <alignment vertical="center"/>
    </xf>
    <xf numFmtId="174" fontId="0" fillId="0" borderId="0" xfId="215" applyFont="1">
      <alignment horizontal="right"/>
    </xf>
    <xf numFmtId="0" fontId="147" fillId="0" borderId="0" xfId="207" applyAlignment="1">
      <alignment horizontal="left" vertical="center" wrapText="1"/>
    </xf>
    <xf numFmtId="0" fontId="148" fillId="0" borderId="0" xfId="207" applyFont="1" applyAlignment="1">
      <alignment horizontal="right" wrapText="1" indent="1"/>
    </xf>
    <xf numFmtId="175" fontId="147" fillId="0" borderId="0" xfId="207" applyNumberFormat="1">
      <alignment horizontal="left" wrapText="1"/>
    </xf>
    <xf numFmtId="14" fontId="89" fillId="0" borderId="0" xfId="0" applyNumberFormat="1" applyFont="1" applyAlignment="1">
      <alignment vertical="center"/>
    </xf>
    <xf numFmtId="0" fontId="171" fillId="0" borderId="0" xfId="0" applyFont="1" applyAlignment="1">
      <alignment horizontal="right" vertical="center"/>
    </xf>
    <xf numFmtId="0" fontId="89" fillId="0" borderId="0" xfId="0" applyFont="1" applyAlignment="1">
      <alignment horizontal="right" vertical="center"/>
    </xf>
    <xf numFmtId="0" fontId="124" fillId="0" borderId="0" xfId="0" applyFont="1" applyAlignment="1">
      <alignment vertical="center"/>
    </xf>
    <xf numFmtId="0" fontId="88" fillId="0" borderId="0" xfId="0" applyFont="1" applyAlignment="1">
      <alignment vertical="center"/>
    </xf>
    <xf numFmtId="0" fontId="89" fillId="0" borderId="0" xfId="0" applyFont="1" applyAlignment="1">
      <alignment horizontal="justify" vertical="center"/>
    </xf>
    <xf numFmtId="0" fontId="260" fillId="66" borderId="0" xfId="0" applyFont="1" applyFill="1" applyAlignment="1">
      <alignment vertical="center" wrapText="1"/>
    </xf>
    <xf numFmtId="0" fontId="260" fillId="66" borderId="0" xfId="0" applyFont="1" applyFill="1" applyAlignment="1">
      <alignment horizontal="right" vertical="center" wrapText="1"/>
    </xf>
    <xf numFmtId="167" fontId="242" fillId="8" borderId="114" xfId="19" applyNumberFormat="1" applyFont="1" applyFill="1" applyBorder="1" applyProtection="1">
      <protection locked="0"/>
    </xf>
    <xf numFmtId="167" fontId="242" fillId="8" borderId="114" xfId="19" applyNumberFormat="1" applyFont="1" applyFill="1" applyBorder="1" applyAlignment="1" applyProtection="1">
      <alignment vertical="top"/>
      <protection locked="0"/>
    </xf>
    <xf numFmtId="167" fontId="79" fillId="8" borderId="114" xfId="19" applyNumberFormat="1" applyFont="1" applyFill="1" applyBorder="1" applyAlignment="1" applyProtection="1">
      <alignment vertical="top"/>
      <protection locked="0"/>
    </xf>
    <xf numFmtId="167" fontId="241" fillId="18" borderId="114" xfId="19" applyNumberFormat="1" applyFont="1" applyFill="1" applyBorder="1" applyProtection="1">
      <protection locked="0"/>
    </xf>
    <xf numFmtId="167" fontId="179" fillId="18" borderId="114" xfId="19" applyNumberFormat="1" applyFont="1" applyFill="1" applyBorder="1" applyProtection="1">
      <protection locked="0"/>
    </xf>
    <xf numFmtId="167" fontId="98" fillId="18" borderId="114" xfId="19" applyNumberFormat="1" applyFont="1" applyFill="1" applyBorder="1" applyProtection="1">
      <protection locked="0"/>
    </xf>
    <xf numFmtId="167" fontId="93" fillId="18" borderId="114" xfId="19" applyNumberFormat="1" applyFont="1" applyFill="1" applyBorder="1" applyProtection="1">
      <protection locked="0"/>
    </xf>
    <xf numFmtId="0" fontId="261" fillId="0" borderId="0" xfId="0" quotePrefix="1" applyFont="1"/>
    <xf numFmtId="3" fontId="0" fillId="0" borderId="123" xfId="0" applyNumberFormat="1" applyBorder="1"/>
    <xf numFmtId="0" fontId="0" fillId="67" borderId="0" xfId="0" applyFill="1" applyAlignment="1">
      <alignment horizontal="right"/>
    </xf>
    <xf numFmtId="3" fontId="0" fillId="67" borderId="0" xfId="0" applyNumberFormat="1" applyFill="1"/>
    <xf numFmtId="0" fontId="0" fillId="15" borderId="0" xfId="0" applyFill="1"/>
    <xf numFmtId="3" fontId="0" fillId="15" borderId="0" xfId="0" applyNumberFormat="1" applyFill="1"/>
    <xf numFmtId="0" fontId="0" fillId="17" borderId="0" xfId="0" applyFill="1"/>
    <xf numFmtId="3" fontId="0" fillId="17" borderId="0" xfId="0" applyNumberFormat="1" applyFill="1"/>
    <xf numFmtId="0" fontId="0" fillId="17" borderId="0" xfId="0" applyFill="1" applyAlignment="1">
      <alignment horizontal="right"/>
    </xf>
    <xf numFmtId="0" fontId="0" fillId="0" borderId="123" xfId="0" applyBorder="1" applyAlignment="1">
      <alignment horizontal="right"/>
    </xf>
    <xf numFmtId="0" fontId="53" fillId="0" borderId="0" xfId="0" applyFont="1" applyAlignment="1">
      <alignment vertical="center" wrapText="1"/>
    </xf>
    <xf numFmtId="0" fontId="0" fillId="0" borderId="127" xfId="0" applyBorder="1"/>
    <xf numFmtId="0" fontId="0" fillId="0" borderId="127" xfId="0" applyBorder="1" applyAlignment="1">
      <alignment wrapText="1"/>
    </xf>
    <xf numFmtId="0" fontId="90" fillId="0" borderId="0" xfId="0" applyFont="1" applyAlignment="1">
      <alignment wrapText="1"/>
    </xf>
    <xf numFmtId="0" fontId="0" fillId="0" borderId="127" xfId="0" applyBorder="1" applyAlignment="1">
      <alignment horizontal="left"/>
    </xf>
    <xf numFmtId="49" fontId="0" fillId="0" borderId="127" xfId="0" applyNumberFormat="1" applyBorder="1" applyAlignment="1">
      <alignment horizontal="left"/>
    </xf>
    <xf numFmtId="49" fontId="0" fillId="0" borderId="0" xfId="0" applyNumberFormat="1" applyAlignment="1">
      <alignment horizontal="left"/>
    </xf>
    <xf numFmtId="0" fontId="0" fillId="20" borderId="127" xfId="0" applyFill="1" applyBorder="1"/>
    <xf numFmtId="0" fontId="0" fillId="0" borderId="127" xfId="0" applyBorder="1" applyAlignment="1">
      <alignment horizontal="left" indent="2"/>
    </xf>
    <xf numFmtId="0" fontId="0" fillId="0" borderId="127" xfId="0" applyBorder="1" applyAlignment="1">
      <alignment horizontal="left" wrapText="1" indent="2"/>
    </xf>
    <xf numFmtId="0" fontId="263" fillId="20" borderId="127" xfId="0" applyFont="1" applyFill="1" applyBorder="1" applyAlignment="1">
      <alignment wrapText="1"/>
    </xf>
    <xf numFmtId="167" fontId="84" fillId="0" borderId="127" xfId="1" applyNumberFormat="1" applyFont="1" applyBorder="1"/>
    <xf numFmtId="0" fontId="84" fillId="0" borderId="127" xfId="0" applyFont="1" applyBorder="1" applyAlignment="1">
      <alignment wrapText="1"/>
    </xf>
    <xf numFmtId="0" fontId="0" fillId="0" borderId="127" xfId="0" quotePrefix="1" applyBorder="1" applyAlignment="1">
      <alignment wrapText="1"/>
    </xf>
    <xf numFmtId="0" fontId="53" fillId="0" borderId="129" xfId="0" applyFont="1" applyBorder="1" applyAlignment="1">
      <alignment horizontal="right"/>
    </xf>
    <xf numFmtId="0" fontId="53" fillId="11" borderId="127" xfId="0" applyFont="1" applyFill="1" applyBorder="1" applyAlignment="1">
      <alignment horizontal="center" wrapText="1"/>
    </xf>
    <xf numFmtId="0" fontId="0" fillId="0" borderId="42" xfId="0" applyBorder="1"/>
    <xf numFmtId="0" fontId="53" fillId="0" borderId="42" xfId="0" applyFont="1" applyBorder="1" applyAlignment="1">
      <alignment horizontal="right"/>
    </xf>
    <xf numFmtId="0" fontId="53" fillId="0" borderId="113" xfId="0" applyFont="1" applyBorder="1" applyAlignment="1">
      <alignment horizontal="right"/>
    </xf>
    <xf numFmtId="0" fontId="53" fillId="67" borderId="42" xfId="0" applyFont="1" applyFill="1" applyBorder="1" applyAlignment="1">
      <alignment horizontal="right"/>
    </xf>
    <xf numFmtId="0" fontId="53" fillId="0" borderId="42" xfId="0" applyFont="1" applyBorder="1"/>
    <xf numFmtId="0" fontId="53" fillId="15" borderId="42" xfId="0" applyFont="1" applyFill="1" applyBorder="1"/>
    <xf numFmtId="0" fontId="53" fillId="17" borderId="42" xfId="0" applyFont="1" applyFill="1" applyBorder="1" applyAlignment="1">
      <alignment horizontal="right"/>
    </xf>
    <xf numFmtId="0" fontId="53" fillId="0" borderId="0" xfId="0" applyFont="1" applyAlignment="1">
      <alignment horizontal="center" wrapText="1"/>
    </xf>
    <xf numFmtId="0" fontId="47" fillId="0" borderId="127" xfId="28" applyFont="1" applyBorder="1"/>
    <xf numFmtId="0" fontId="0" fillId="0" borderId="127" xfId="0" applyBorder="1" applyAlignment="1">
      <alignment horizontal="left" wrapText="1"/>
    </xf>
    <xf numFmtId="0" fontId="53" fillId="0" borderId="128" xfId="0" applyFont="1" applyBorder="1" applyAlignment="1">
      <alignment horizontal="right" wrapText="1"/>
    </xf>
    <xf numFmtId="167" fontId="105" fillId="0" borderId="0" xfId="1" applyNumberFormat="1" applyFont="1"/>
    <xf numFmtId="167" fontId="53" fillId="0" borderId="0" xfId="1" applyNumberFormat="1" applyFont="1" applyBorder="1"/>
    <xf numFmtId="0" fontId="0" fillId="9" borderId="0" xfId="0" applyFill="1" applyAlignment="1">
      <alignment horizontal="right"/>
    </xf>
    <xf numFmtId="167" fontId="0" fillId="0" borderId="0" xfId="0" applyNumberFormat="1" applyAlignment="1">
      <alignment horizontal="left"/>
    </xf>
    <xf numFmtId="0" fontId="0" fillId="0" borderId="131" xfId="0" applyBorder="1"/>
    <xf numFmtId="167" fontId="0" fillId="0" borderId="132" xfId="1" applyNumberFormat="1" applyFont="1" applyBorder="1"/>
    <xf numFmtId="167" fontId="0" fillId="0" borderId="134" xfId="1" applyNumberFormat="1" applyFont="1" applyBorder="1"/>
    <xf numFmtId="0" fontId="0" fillId="0" borderId="136" xfId="0" applyBorder="1"/>
    <xf numFmtId="167" fontId="0" fillId="0" borderId="132" xfId="0" applyNumberFormat="1" applyBorder="1"/>
    <xf numFmtId="167" fontId="0" fillId="0" borderId="134" xfId="0" applyNumberFormat="1" applyBorder="1"/>
    <xf numFmtId="167" fontId="0" fillId="0" borderId="137" xfId="1" applyNumberFormat="1" applyFont="1" applyBorder="1"/>
    <xf numFmtId="167" fontId="84" fillId="0" borderId="0" xfId="1" applyNumberFormat="1" applyFont="1"/>
    <xf numFmtId="167" fontId="84" fillId="0" borderId="0" xfId="0" applyNumberFormat="1" applyFont="1" applyAlignment="1">
      <alignment horizontal="right"/>
    </xf>
    <xf numFmtId="0" fontId="0" fillId="0" borderId="42" xfId="0" applyBorder="1" applyAlignment="1">
      <alignment horizontal="right"/>
    </xf>
    <xf numFmtId="0" fontId="265" fillId="0" borderId="0" xfId="0" quotePrefix="1" applyFont="1"/>
    <xf numFmtId="167" fontId="265" fillId="0" borderId="0" xfId="1" quotePrefix="1" applyNumberFormat="1" applyFont="1"/>
    <xf numFmtId="49" fontId="187" fillId="5" borderId="53" xfId="43" applyNumberFormat="1" applyFont="1" applyFill="1" applyBorder="1" applyAlignment="1">
      <alignment horizontal="right" wrapText="1" indent="2"/>
    </xf>
    <xf numFmtId="0" fontId="0" fillId="0" borderId="127" xfId="0" applyBorder="1" applyAlignment="1">
      <alignment horizontal="center" wrapText="1"/>
    </xf>
    <xf numFmtId="167" fontId="90" fillId="0" borderId="127" xfId="1" applyNumberFormat="1" applyFont="1" applyBorder="1"/>
    <xf numFmtId="49" fontId="90" fillId="0" borderId="127" xfId="0" applyNumberFormat="1" applyFont="1" applyBorder="1" applyAlignment="1">
      <alignment wrapText="1"/>
    </xf>
    <xf numFmtId="49" fontId="90" fillId="0" borderId="127" xfId="0" applyNumberFormat="1" applyFont="1" applyBorder="1" applyAlignment="1">
      <alignment horizontal="left"/>
    </xf>
    <xf numFmtId="167" fontId="5" fillId="0" borderId="0" xfId="201" applyNumberFormat="1"/>
    <xf numFmtId="0" fontId="2" fillId="0" borderId="0" xfId="201" applyFont="1" applyAlignment="1">
      <alignment horizontal="right"/>
    </xf>
    <xf numFmtId="167" fontId="148" fillId="0" borderId="115" xfId="201" applyNumberFormat="1" applyFont="1" applyBorder="1"/>
    <xf numFmtId="0" fontId="266" fillId="68" borderId="138" xfId="0" applyFont="1" applyFill="1" applyBorder="1"/>
    <xf numFmtId="0" fontId="53" fillId="0" borderId="140" xfId="0" applyFont="1" applyBorder="1"/>
    <xf numFmtId="9" fontId="0" fillId="0" borderId="0" xfId="0" applyNumberFormat="1"/>
    <xf numFmtId="167" fontId="0" fillId="0" borderId="139" xfId="0" applyNumberFormat="1" applyBorder="1"/>
    <xf numFmtId="167" fontId="53" fillId="0" borderId="141" xfId="0" applyNumberFormat="1" applyFont="1" applyBorder="1"/>
    <xf numFmtId="0" fontId="266" fillId="68" borderId="138" xfId="0" applyFont="1" applyFill="1" applyBorder="1" applyAlignment="1">
      <alignment wrapText="1"/>
    </xf>
    <xf numFmtId="0" fontId="90" fillId="0" borderId="127" xfId="0" applyFont="1" applyBorder="1" applyAlignment="1">
      <alignment wrapText="1"/>
    </xf>
    <xf numFmtId="167" fontId="0" fillId="0" borderId="0" xfId="0" applyNumberFormat="1" applyAlignment="1">
      <alignment wrapText="1"/>
    </xf>
    <xf numFmtId="167" fontId="107" fillId="0" borderId="0" xfId="0" applyNumberFormat="1" applyFont="1"/>
    <xf numFmtId="0" fontId="125" fillId="0" borderId="0" xfId="0" applyFont="1" applyAlignment="1">
      <alignment wrapText="1"/>
    </xf>
    <xf numFmtId="0" fontId="107" fillId="0" borderId="0" xfId="0" applyFont="1" applyAlignment="1">
      <alignment wrapText="1"/>
    </xf>
    <xf numFmtId="0" fontId="189" fillId="0" borderId="0" xfId="0" applyFont="1" applyAlignment="1">
      <alignment wrapText="1"/>
    </xf>
    <xf numFmtId="0" fontId="190" fillId="0" borderId="0" xfId="0" applyFont="1" applyAlignment="1">
      <alignment wrapText="1"/>
    </xf>
    <xf numFmtId="0" fontId="140" fillId="0" borderId="0" xfId="0" applyFont="1" applyAlignment="1">
      <alignment wrapText="1"/>
    </xf>
    <xf numFmtId="0" fontId="97" fillId="0" borderId="0" xfId="0" applyFont="1" applyAlignment="1">
      <alignment wrapText="1"/>
    </xf>
    <xf numFmtId="0" fontId="108" fillId="0" borderId="0" xfId="0" applyFont="1" applyAlignment="1">
      <alignment wrapText="1"/>
    </xf>
    <xf numFmtId="167" fontId="0" fillId="0" borderId="0" xfId="1" applyNumberFormat="1" applyFont="1" applyFill="1"/>
    <xf numFmtId="0" fontId="0" fillId="11" borderId="0" xfId="0" applyFill="1"/>
    <xf numFmtId="167" fontId="90" fillId="0" borderId="127" xfId="1" applyNumberFormat="1" applyFont="1" applyFill="1" applyBorder="1"/>
    <xf numFmtId="0" fontId="84" fillId="0" borderId="127" xfId="0" applyFont="1" applyBorder="1"/>
    <xf numFmtId="43" fontId="38" fillId="5" borderId="89" xfId="1" quotePrefix="1" applyFont="1" applyFill="1" applyBorder="1" applyAlignment="1">
      <alignment wrapText="1"/>
    </xf>
    <xf numFmtId="43" fontId="38" fillId="5" borderId="89" xfId="1" applyFont="1" applyFill="1" applyBorder="1" applyAlignment="1">
      <alignment wrapText="1"/>
    </xf>
    <xf numFmtId="43" fontId="38" fillId="3" borderId="89" xfId="1" applyFont="1" applyFill="1" applyBorder="1"/>
    <xf numFmtId="43" fontId="39" fillId="5" borderId="89" xfId="1" applyFont="1" applyFill="1" applyBorder="1" applyAlignment="1">
      <alignment wrapText="1"/>
    </xf>
    <xf numFmtId="43" fontId="129" fillId="5" borderId="89" xfId="1" applyFont="1" applyFill="1" applyBorder="1"/>
    <xf numFmtId="43" fontId="39" fillId="3" borderId="89" xfId="1" applyFont="1" applyFill="1" applyBorder="1"/>
    <xf numFmtId="43" fontId="38" fillId="3" borderId="89" xfId="1" applyFont="1" applyFill="1" applyBorder="1" applyAlignment="1">
      <alignment wrapText="1"/>
    </xf>
    <xf numFmtId="43" fontId="45" fillId="4" borderId="89" xfId="1" applyFont="1" applyFill="1" applyBorder="1"/>
    <xf numFmtId="43" fontId="42" fillId="4" borderId="89" xfId="1" applyFont="1" applyFill="1" applyBorder="1"/>
    <xf numFmtId="43" fontId="45" fillId="3" borderId="89" xfId="1" applyFont="1" applyFill="1" applyBorder="1"/>
    <xf numFmtId="43" fontId="187" fillId="5" borderId="89" xfId="1" applyFont="1" applyFill="1" applyBorder="1"/>
    <xf numFmtId="43" fontId="128" fillId="3" borderId="89" xfId="1" applyFont="1" applyFill="1" applyBorder="1"/>
    <xf numFmtId="0" fontId="90" fillId="0" borderId="127" xfId="0" applyFont="1" applyBorder="1"/>
    <xf numFmtId="0" fontId="90" fillId="0" borderId="127" xfId="0" applyFont="1" applyBorder="1" applyAlignment="1">
      <alignment horizontal="left"/>
    </xf>
    <xf numFmtId="167" fontId="90" fillId="0" borderId="0" xfId="1" applyNumberFormat="1" applyFont="1" applyFill="1" applyBorder="1"/>
    <xf numFmtId="43" fontId="38" fillId="5" borderId="73" xfId="1" quotePrefix="1" applyFont="1" applyFill="1" applyBorder="1" applyAlignment="1">
      <alignment wrapText="1"/>
    </xf>
    <xf numFmtId="0" fontId="192" fillId="0" borderId="127" xfId="0" applyFont="1" applyBorder="1"/>
    <xf numFmtId="9" fontId="40" fillId="5" borderId="11" xfId="2" applyFont="1" applyFill="1" applyBorder="1" applyAlignment="1">
      <alignment horizontal="right"/>
    </xf>
    <xf numFmtId="49" fontId="40" fillId="5" borderId="79" xfId="43" applyNumberFormat="1" applyFont="1" applyFill="1" applyBorder="1" applyAlignment="1">
      <alignment horizontal="right" wrapText="1" indent="2"/>
    </xf>
    <xf numFmtId="49" fontId="90" fillId="20" borderId="127" xfId="0" applyNumberFormat="1" applyFont="1" applyFill="1" applyBorder="1" applyAlignment="1">
      <alignment horizontal="left"/>
    </xf>
    <xf numFmtId="43" fontId="52" fillId="0" borderId="11" xfId="1" applyFont="1" applyFill="1" applyBorder="1" applyAlignment="1">
      <alignment wrapText="1"/>
    </xf>
    <xf numFmtId="167" fontId="0" fillId="0" borderId="0" xfId="1" applyNumberFormat="1" applyFont="1" applyAlignment="1">
      <alignment wrapText="1"/>
    </xf>
    <xf numFmtId="0" fontId="255" fillId="56" borderId="124" xfId="0" applyFont="1" applyFill="1" applyBorder="1" applyAlignment="1">
      <alignment vertical="center" wrapText="1"/>
    </xf>
    <xf numFmtId="0" fontId="255" fillId="56" borderId="124" xfId="0" applyFont="1" applyFill="1" applyBorder="1" applyAlignment="1">
      <alignment horizontal="center" vertical="center" wrapText="1"/>
    </xf>
    <xf numFmtId="0" fontId="176" fillId="56" borderId="124" xfId="0" applyFont="1" applyFill="1" applyBorder="1" applyAlignment="1">
      <alignment vertical="center" wrapText="1"/>
    </xf>
    <xf numFmtId="0" fontId="255" fillId="56" borderId="124" xfId="0" applyFont="1" applyFill="1" applyBorder="1"/>
    <xf numFmtId="0" fontId="255" fillId="5" borderId="124" xfId="0" applyFont="1" applyFill="1" applyBorder="1" applyAlignment="1">
      <alignment vertical="center" wrapText="1"/>
    </xf>
    <xf numFmtId="0" fontId="255" fillId="5" borderId="124" xfId="0" applyFont="1" applyFill="1" applyBorder="1" applyAlignment="1">
      <alignment horizontal="center" vertical="center" wrapText="1"/>
    </xf>
    <xf numFmtId="0" fontId="176" fillId="5" borderId="124" xfId="0" applyFont="1" applyFill="1" applyBorder="1" applyAlignment="1">
      <alignment vertical="center" wrapText="1"/>
    </xf>
    <xf numFmtId="0" fontId="255" fillId="5" borderId="124" xfId="0" applyFont="1" applyFill="1" applyBorder="1"/>
    <xf numFmtId="2" fontId="176" fillId="0" borderId="0" xfId="0" applyNumberFormat="1" applyFont="1" applyAlignment="1">
      <alignment vertical="center" wrapText="1"/>
    </xf>
    <xf numFmtId="0" fontId="176" fillId="0" borderId="145" xfId="0" applyFont="1" applyBorder="1" applyAlignment="1">
      <alignment vertical="center" wrapText="1"/>
    </xf>
    <xf numFmtId="0" fontId="176" fillId="0" borderId="146" xfId="0" applyFont="1" applyBorder="1" applyAlignment="1">
      <alignment vertical="center" wrapText="1"/>
    </xf>
    <xf numFmtId="0" fontId="176" fillId="0" borderId="147" xfId="0" applyFont="1" applyBorder="1" applyAlignment="1">
      <alignment vertical="center" wrapText="1"/>
    </xf>
    <xf numFmtId="0" fontId="90" fillId="0" borderId="127" xfId="0" applyFont="1" applyBorder="1" applyAlignment="1">
      <alignment horizontal="left" wrapText="1"/>
    </xf>
    <xf numFmtId="0" fontId="38" fillId="0" borderId="122" xfId="43" applyFont="1" applyBorder="1" applyAlignment="1">
      <alignment horizontal="left" wrapText="1" indent="2"/>
    </xf>
    <xf numFmtId="0" fontId="268" fillId="0" borderId="0" xfId="0" applyFont="1"/>
    <xf numFmtId="0" fontId="51" fillId="25" borderId="31" xfId="10" applyFont="1" applyFill="1" applyBorder="1" applyAlignment="1">
      <alignment vertical="center"/>
    </xf>
    <xf numFmtId="0" fontId="51" fillId="25" borderId="35" xfId="10" applyFont="1" applyFill="1" applyBorder="1" applyAlignment="1">
      <alignment vertical="center"/>
    </xf>
    <xf numFmtId="3" fontId="117" fillId="0" borderId="27" xfId="10" applyNumberFormat="1" applyFont="1" applyBorder="1" applyAlignment="1">
      <alignment horizontal="right" vertical="center"/>
    </xf>
    <xf numFmtId="167" fontId="117" fillId="0" borderId="27" xfId="12" applyNumberFormat="1" applyFont="1" applyFill="1" applyBorder="1" applyAlignment="1">
      <alignment horizontal="right" vertical="center"/>
    </xf>
    <xf numFmtId="3" fontId="61" fillId="23" borderId="25" xfId="10" applyNumberFormat="1" applyFont="1" applyFill="1" applyBorder="1" applyAlignment="1">
      <alignment horizontal="right" vertical="center"/>
    </xf>
    <xf numFmtId="167" fontId="56" fillId="0" borderId="0" xfId="1" applyNumberFormat="1" applyFont="1"/>
    <xf numFmtId="0" fontId="134" fillId="11" borderId="21" xfId="10" applyFont="1" applyFill="1" applyBorder="1" applyAlignment="1">
      <alignment horizontal="center" vertical="center" wrapText="1"/>
    </xf>
    <xf numFmtId="0" fontId="61" fillId="11" borderId="21" xfId="10" applyFont="1" applyFill="1" applyBorder="1" applyAlignment="1">
      <alignment horizontal="center" vertical="center" wrapText="1"/>
    </xf>
    <xf numFmtId="3" fontId="61" fillId="69" borderId="25" xfId="10" applyNumberFormat="1" applyFont="1" applyFill="1" applyBorder="1" applyAlignment="1">
      <alignment horizontal="right" vertical="center"/>
    </xf>
    <xf numFmtId="3" fontId="117" fillId="69" borderId="27" xfId="10" applyNumberFormat="1" applyFont="1" applyFill="1" applyBorder="1" applyAlignment="1">
      <alignment horizontal="right" vertical="center"/>
    </xf>
    <xf numFmtId="3" fontId="61" fillId="69" borderId="29" xfId="10" applyNumberFormat="1" applyFont="1" applyFill="1" applyBorder="1" applyAlignment="1">
      <alignment horizontal="right" vertical="center"/>
    </xf>
    <xf numFmtId="167" fontId="61" fillId="69" borderId="25" xfId="12" applyNumberFormat="1" applyFont="1" applyFill="1" applyBorder="1" applyAlignment="1">
      <alignment horizontal="right" vertical="center"/>
    </xf>
    <xf numFmtId="167" fontId="117" fillId="69" borderId="27" xfId="12" applyNumberFormat="1" applyFont="1" applyFill="1" applyBorder="1" applyAlignment="1">
      <alignment horizontal="right" vertical="center"/>
    </xf>
    <xf numFmtId="167" fontId="119" fillId="0" borderId="0" xfId="11" applyNumberFormat="1" applyFont="1" applyBorder="1"/>
    <xf numFmtId="167" fontId="54" fillId="0" borderId="0" xfId="11" applyNumberFormat="1" applyFont="1" applyBorder="1"/>
    <xf numFmtId="167" fontId="54" fillId="0" borderId="0" xfId="12" applyNumberFormat="1" applyFont="1" applyBorder="1"/>
    <xf numFmtId="3" fontId="61" fillId="19" borderId="0" xfId="10" applyNumberFormat="1" applyFont="1" applyFill="1" applyAlignment="1">
      <alignment horizontal="right" vertical="center"/>
    </xf>
    <xf numFmtId="0" fontId="61" fillId="14" borderId="0" xfId="10" applyFont="1" applyFill="1" applyAlignment="1">
      <alignment vertical="center"/>
    </xf>
    <xf numFmtId="0" fontId="63" fillId="14" borderId="0" xfId="10" applyFont="1" applyFill="1" applyAlignment="1">
      <alignment vertical="center"/>
    </xf>
    <xf numFmtId="0" fontId="63" fillId="14" borderId="0" xfId="10" applyFont="1" applyFill="1" applyAlignment="1">
      <alignment horizontal="center" vertical="center"/>
    </xf>
    <xf numFmtId="0" fontId="114" fillId="14" borderId="0" xfId="10" applyFont="1" applyFill="1" applyAlignment="1">
      <alignment horizontal="right" vertical="center"/>
    </xf>
    <xf numFmtId="167" fontId="64" fillId="14" borderId="0" xfId="11" applyNumberFormat="1" applyFont="1" applyFill="1" applyBorder="1" applyAlignment="1">
      <alignment horizontal="center" vertical="center"/>
    </xf>
    <xf numFmtId="167" fontId="63" fillId="14" borderId="0" xfId="11" applyNumberFormat="1" applyFont="1" applyFill="1" applyBorder="1" applyAlignment="1">
      <alignment horizontal="center" vertical="center"/>
    </xf>
    <xf numFmtId="3" fontId="61" fillId="14" borderId="0" xfId="10" applyNumberFormat="1" applyFont="1" applyFill="1" applyAlignment="1">
      <alignment horizontal="right" vertical="center"/>
    </xf>
    <xf numFmtId="0" fontId="61" fillId="17" borderId="0" xfId="10" applyFont="1" applyFill="1" applyAlignment="1">
      <alignment vertical="center"/>
    </xf>
    <xf numFmtId="0" fontId="63" fillId="17" borderId="0" xfId="10" applyFont="1" applyFill="1" applyAlignment="1">
      <alignment vertical="center"/>
    </xf>
    <xf numFmtId="0" fontId="63" fillId="17" borderId="0" xfId="10" applyFont="1" applyFill="1" applyAlignment="1">
      <alignment horizontal="center" vertical="center"/>
    </xf>
    <xf numFmtId="0" fontId="114" fillId="17" borderId="0" xfId="10" applyFont="1" applyFill="1" applyAlignment="1">
      <alignment horizontal="right" vertical="center"/>
    </xf>
    <xf numFmtId="167" fontId="64" fillId="17" borderId="0" xfId="11" applyNumberFormat="1" applyFont="1" applyFill="1" applyBorder="1" applyAlignment="1">
      <alignment horizontal="center" vertical="center"/>
    </xf>
    <xf numFmtId="167" fontId="63" fillId="17" borderId="0" xfId="11" applyNumberFormat="1" applyFont="1" applyFill="1" applyBorder="1" applyAlignment="1">
      <alignment horizontal="center" vertical="center"/>
    </xf>
    <xf numFmtId="0" fontId="54" fillId="0" borderId="30" xfId="10" applyFont="1" applyBorder="1"/>
    <xf numFmtId="0" fontId="63" fillId="0" borderId="30" xfId="10" applyFont="1" applyBorder="1"/>
    <xf numFmtId="167" fontId="64" fillId="0" borderId="149" xfId="11" applyNumberFormat="1" applyFont="1" applyBorder="1" applyAlignment="1">
      <alignment horizontal="center" vertical="center"/>
    </xf>
    <xf numFmtId="167" fontId="63" fillId="0" borderId="149" xfId="11" applyNumberFormat="1" applyFont="1" applyBorder="1" applyAlignment="1">
      <alignment horizontal="center" vertical="center"/>
    </xf>
    <xf numFmtId="3" fontId="134" fillId="0" borderId="149" xfId="10" applyNumberFormat="1" applyFont="1" applyBorder="1" applyAlignment="1">
      <alignment horizontal="right" vertical="center"/>
    </xf>
    <xf numFmtId="3" fontId="117" fillId="19" borderId="149" xfId="10" applyNumberFormat="1" applyFont="1" applyFill="1" applyBorder="1" applyAlignment="1">
      <alignment horizontal="right" vertical="center"/>
    </xf>
    <xf numFmtId="0" fontId="56" fillId="14" borderId="149" xfId="10" applyFont="1" applyFill="1" applyBorder="1" applyAlignment="1">
      <alignment horizontal="right"/>
    </xf>
    <xf numFmtId="0" fontId="63" fillId="14" borderId="149" xfId="10" applyFont="1" applyFill="1" applyBorder="1" applyAlignment="1">
      <alignment vertical="center"/>
    </xf>
    <xf numFmtId="0" fontId="63" fillId="14" borderId="149" xfId="10" applyFont="1" applyFill="1" applyBorder="1" applyAlignment="1">
      <alignment horizontal="center" vertical="center"/>
    </xf>
    <xf numFmtId="0" fontId="114" fillId="14" borderId="149" xfId="10" applyFont="1" applyFill="1" applyBorder="1" applyAlignment="1">
      <alignment horizontal="right" vertical="center"/>
    </xf>
    <xf numFmtId="0" fontId="117" fillId="14" borderId="149" xfId="10" applyFont="1" applyFill="1" applyBorder="1" applyAlignment="1">
      <alignment vertical="center"/>
    </xf>
    <xf numFmtId="0" fontId="61" fillId="14" borderId="149" xfId="10" applyFont="1" applyFill="1" applyBorder="1" applyAlignment="1">
      <alignment vertical="center"/>
    </xf>
    <xf numFmtId="167" fontId="64" fillId="14" borderId="149" xfId="11" applyNumberFormat="1" applyFont="1" applyFill="1" applyBorder="1" applyAlignment="1">
      <alignment horizontal="center" vertical="center"/>
    </xf>
    <xf numFmtId="167" fontId="63" fillId="14" borderId="149" xfId="11" applyNumberFormat="1" applyFont="1" applyFill="1" applyBorder="1" applyAlignment="1">
      <alignment horizontal="center" vertical="center"/>
    </xf>
    <xf numFmtId="3" fontId="117" fillId="14" borderId="149" xfId="10" applyNumberFormat="1" applyFont="1" applyFill="1" applyBorder="1" applyAlignment="1">
      <alignment horizontal="right" vertical="center"/>
    </xf>
    <xf numFmtId="167" fontId="64" fillId="0" borderId="0" xfId="11" applyNumberFormat="1" applyFont="1" applyFill="1" applyBorder="1" applyAlignment="1">
      <alignment horizontal="center" vertical="center"/>
    </xf>
    <xf numFmtId="0" fontId="117" fillId="17" borderId="149" xfId="10" applyFont="1" applyFill="1" applyBorder="1" applyAlignment="1">
      <alignment vertical="center"/>
    </xf>
    <xf numFmtId="0" fontId="56" fillId="17" borderId="149" xfId="10" applyFont="1" applyFill="1" applyBorder="1" applyAlignment="1">
      <alignment horizontal="right"/>
    </xf>
    <xf numFmtId="0" fontId="63" fillId="17" borderId="149" xfId="10" applyFont="1" applyFill="1" applyBorder="1" applyAlignment="1">
      <alignment vertical="center"/>
    </xf>
    <xf numFmtId="0" fontId="63" fillId="17" borderId="149" xfId="10" applyFont="1" applyFill="1" applyBorder="1" applyAlignment="1">
      <alignment horizontal="center" vertical="center"/>
    </xf>
    <xf numFmtId="0" fontId="114" fillId="17" borderId="149" xfId="10" applyFont="1" applyFill="1" applyBorder="1" applyAlignment="1">
      <alignment horizontal="right" vertical="center"/>
    </xf>
    <xf numFmtId="0" fontId="61" fillId="17" borderId="149" xfId="10" applyFont="1" applyFill="1" applyBorder="1" applyAlignment="1">
      <alignment vertical="center"/>
    </xf>
    <xf numFmtId="167" fontId="64" fillId="17" borderId="149" xfId="11" applyNumberFormat="1" applyFont="1" applyFill="1" applyBorder="1" applyAlignment="1">
      <alignment horizontal="center" vertical="center"/>
    </xf>
    <xf numFmtId="167" fontId="63" fillId="17" borderId="149" xfId="11" applyNumberFormat="1" applyFont="1" applyFill="1" applyBorder="1" applyAlignment="1">
      <alignment horizontal="center" vertical="center"/>
    </xf>
    <xf numFmtId="0" fontId="56" fillId="17" borderId="0" xfId="10" applyFont="1" applyFill="1" applyAlignment="1">
      <alignment horizontal="right"/>
    </xf>
    <xf numFmtId="3" fontId="61" fillId="17" borderId="0" xfId="10" applyNumberFormat="1" applyFont="1" applyFill="1" applyAlignment="1">
      <alignment horizontal="right" vertical="center"/>
    </xf>
    <xf numFmtId="3" fontId="117" fillId="17" borderId="149" xfId="10" applyNumberFormat="1" applyFont="1" applyFill="1" applyBorder="1" applyAlignment="1">
      <alignment horizontal="right" vertical="center"/>
    </xf>
    <xf numFmtId="0" fontId="61" fillId="19" borderId="0" xfId="10" applyFont="1" applyFill="1" applyAlignment="1">
      <alignment vertical="center"/>
    </xf>
    <xf numFmtId="0" fontId="63" fillId="19" borderId="0" xfId="10" applyFont="1" applyFill="1" applyAlignment="1">
      <alignment vertical="center"/>
    </xf>
    <xf numFmtId="0" fontId="63" fillId="19" borderId="0" xfId="10" applyFont="1" applyFill="1" applyAlignment="1">
      <alignment horizontal="center" vertical="center"/>
    </xf>
    <xf numFmtId="0" fontId="114" fillId="19" borderId="0" xfId="10" applyFont="1" applyFill="1" applyAlignment="1">
      <alignment horizontal="right" vertical="center"/>
    </xf>
    <xf numFmtId="167" fontId="64" fillId="19" borderId="0" xfId="11" applyNumberFormat="1" applyFont="1" applyFill="1" applyBorder="1" applyAlignment="1">
      <alignment horizontal="center" vertical="center"/>
    </xf>
    <xf numFmtId="167" fontId="63" fillId="19" borderId="0" xfId="11" applyNumberFormat="1" applyFont="1" applyFill="1" applyBorder="1" applyAlignment="1">
      <alignment horizontal="center" vertical="center"/>
    </xf>
    <xf numFmtId="0" fontId="56" fillId="19" borderId="149" xfId="10" applyFont="1" applyFill="1" applyBorder="1" applyAlignment="1">
      <alignment horizontal="right"/>
    </xf>
    <xf numFmtId="0" fontId="63" fillId="19" borderId="149" xfId="10" applyFont="1" applyFill="1" applyBorder="1" applyAlignment="1">
      <alignment vertical="center"/>
    </xf>
    <xf numFmtId="0" fontId="63" fillId="19" borderId="149" xfId="10" applyFont="1" applyFill="1" applyBorder="1" applyAlignment="1">
      <alignment horizontal="center" vertical="center"/>
    </xf>
    <xf numFmtId="0" fontId="114" fillId="19" borderId="149" xfId="10" applyFont="1" applyFill="1" applyBorder="1" applyAlignment="1">
      <alignment horizontal="right" vertical="center"/>
    </xf>
    <xf numFmtId="0" fontId="117" fillId="19" borderId="149" xfId="10" applyFont="1" applyFill="1" applyBorder="1" applyAlignment="1">
      <alignment vertical="center"/>
    </xf>
    <xf numFmtId="0" fontId="61" fillId="19" borderId="149" xfId="10" applyFont="1" applyFill="1" applyBorder="1" applyAlignment="1">
      <alignment vertical="center"/>
    </xf>
    <xf numFmtId="167" fontId="64" fillId="19" borderId="149" xfId="11" applyNumberFormat="1" applyFont="1" applyFill="1" applyBorder="1" applyAlignment="1">
      <alignment horizontal="center" vertical="center"/>
    </xf>
    <xf numFmtId="167" fontId="63" fillId="19" borderId="149" xfId="11" applyNumberFormat="1" applyFont="1" applyFill="1" applyBorder="1" applyAlignment="1">
      <alignment horizontal="center" vertical="center"/>
    </xf>
    <xf numFmtId="0" fontId="56" fillId="19" borderId="0" xfId="10" applyFont="1" applyFill="1" applyAlignment="1">
      <alignment horizontal="right"/>
    </xf>
    <xf numFmtId="0" fontId="61" fillId="70" borderId="21" xfId="10" applyFont="1" applyFill="1" applyBorder="1" applyAlignment="1">
      <alignment horizontal="center" vertical="center" wrapText="1"/>
    </xf>
    <xf numFmtId="3" fontId="269" fillId="0" borderId="0" xfId="10" applyNumberFormat="1" applyFont="1" applyAlignment="1">
      <alignment horizontal="right" vertical="center"/>
    </xf>
    <xf numFmtId="0" fontId="63" fillId="0" borderId="16" xfId="10" applyFont="1" applyBorder="1" applyAlignment="1">
      <alignment horizontal="right" vertical="center"/>
    </xf>
    <xf numFmtId="167" fontId="95" fillId="0" borderId="0" xfId="12" applyNumberFormat="1" applyFont="1" applyFill="1"/>
    <xf numFmtId="169" fontId="63" fillId="0" borderId="30" xfId="14" applyNumberFormat="1" applyFont="1" applyFill="1" applyBorder="1" applyAlignment="1">
      <alignment horizontal="center" vertical="center"/>
    </xf>
    <xf numFmtId="169" fontId="63" fillId="11" borderId="118" xfId="14" applyNumberFormat="1" applyFont="1" applyFill="1" applyBorder="1" applyAlignment="1">
      <alignment horizontal="center" vertical="center"/>
    </xf>
    <xf numFmtId="169" fontId="63" fillId="11" borderId="122" xfId="14" applyNumberFormat="1" applyFont="1" applyFill="1" applyBorder="1" applyAlignment="1">
      <alignment horizontal="center" vertical="center"/>
    </xf>
    <xf numFmtId="169" fontId="63" fillId="0" borderId="148" xfId="14" applyNumberFormat="1" applyFont="1" applyFill="1" applyBorder="1" applyAlignment="1">
      <alignment horizontal="center" vertical="center"/>
    </xf>
    <xf numFmtId="167" fontId="63" fillId="19" borderId="150" xfId="11" applyNumberFormat="1" applyFont="1" applyFill="1" applyBorder="1" applyAlignment="1">
      <alignment horizontal="center" vertical="center"/>
    </xf>
    <xf numFmtId="3" fontId="61" fillId="19" borderId="151" xfId="10" applyNumberFormat="1" applyFont="1" applyFill="1" applyBorder="1" applyAlignment="1">
      <alignment horizontal="right" vertical="center"/>
    </xf>
    <xf numFmtId="3" fontId="117" fillId="19" borderId="152" xfId="10" applyNumberFormat="1" applyFont="1" applyFill="1" applyBorder="1" applyAlignment="1">
      <alignment horizontal="right" vertical="center"/>
    </xf>
    <xf numFmtId="3" fontId="61" fillId="19" borderId="153" xfId="10" applyNumberFormat="1" applyFont="1" applyFill="1" applyBorder="1" applyAlignment="1">
      <alignment horizontal="right" vertical="center"/>
    </xf>
    <xf numFmtId="3" fontId="269" fillId="0" borderId="153" xfId="10" applyNumberFormat="1" applyFont="1" applyBorder="1" applyAlignment="1">
      <alignment horizontal="right" vertical="center"/>
    </xf>
    <xf numFmtId="3" fontId="61" fillId="14" borderId="153" xfId="10" applyNumberFormat="1" applyFont="1" applyFill="1" applyBorder="1" applyAlignment="1">
      <alignment horizontal="right" vertical="center"/>
    </xf>
    <xf numFmtId="3" fontId="117" fillId="14" borderId="152" xfId="10" applyNumberFormat="1" applyFont="1" applyFill="1" applyBorder="1" applyAlignment="1">
      <alignment horizontal="right" vertical="center"/>
    </xf>
    <xf numFmtId="3" fontId="61" fillId="17" borderId="153" xfId="10" applyNumberFormat="1" applyFont="1" applyFill="1" applyBorder="1" applyAlignment="1">
      <alignment horizontal="right" vertical="center"/>
    </xf>
    <xf numFmtId="3" fontId="117" fillId="17" borderId="152" xfId="10" applyNumberFormat="1" applyFont="1" applyFill="1" applyBorder="1" applyAlignment="1">
      <alignment horizontal="right" vertical="center"/>
    </xf>
    <xf numFmtId="3" fontId="61" fillId="17" borderId="154" xfId="10" applyNumberFormat="1" applyFont="1" applyFill="1" applyBorder="1" applyAlignment="1">
      <alignment horizontal="right" vertical="center"/>
    </xf>
    <xf numFmtId="0" fontId="61" fillId="0" borderId="0" xfId="10" applyFont="1" applyAlignment="1">
      <alignment horizontal="center" vertical="center"/>
    </xf>
    <xf numFmtId="0" fontId="61" fillId="0" borderId="0" xfId="10" applyFont="1" applyAlignment="1">
      <alignment horizontal="right" vertical="center"/>
    </xf>
    <xf numFmtId="167" fontId="116" fillId="0" borderId="0" xfId="11" applyNumberFormat="1" applyFont="1" applyFill="1" applyBorder="1" applyAlignment="1">
      <alignment horizontal="center" vertical="center"/>
    </xf>
    <xf numFmtId="167" fontId="61" fillId="0" borderId="0" xfId="12" applyNumberFormat="1" applyFont="1" applyFill="1" applyBorder="1" applyAlignment="1">
      <alignment horizontal="center" vertical="center"/>
    </xf>
    <xf numFmtId="3" fontId="61" fillId="13" borderId="45" xfId="10" applyNumberFormat="1" applyFont="1" applyFill="1" applyBorder="1" applyAlignment="1">
      <alignment horizontal="right" vertical="center"/>
    </xf>
    <xf numFmtId="3" fontId="61" fillId="70" borderId="0" xfId="10" applyNumberFormat="1" applyFont="1" applyFill="1" applyAlignment="1">
      <alignment horizontal="right" vertical="center"/>
    </xf>
    <xf numFmtId="0" fontId="61" fillId="0" borderId="50" xfId="10" applyFont="1" applyBorder="1" applyAlignment="1">
      <alignment vertical="center"/>
    </xf>
    <xf numFmtId="0" fontId="63" fillId="0" borderId="50" xfId="10" applyFont="1" applyBorder="1" applyAlignment="1">
      <alignment vertical="center"/>
    </xf>
    <xf numFmtId="3" fontId="61" fillId="0" borderId="45" xfId="10" applyNumberFormat="1" applyFont="1" applyBorder="1" applyAlignment="1">
      <alignment horizontal="right" vertical="center"/>
    </xf>
    <xf numFmtId="0" fontId="134" fillId="70" borderId="21" xfId="10" applyFont="1" applyFill="1" applyBorder="1" applyAlignment="1">
      <alignment horizontal="center" vertical="center" wrapText="1"/>
    </xf>
    <xf numFmtId="3" fontId="134" fillId="70" borderId="2" xfId="10" applyNumberFormat="1" applyFont="1" applyFill="1" applyBorder="1" applyAlignment="1">
      <alignment vertical="center"/>
    </xf>
    <xf numFmtId="3" fontId="61" fillId="70" borderId="2" xfId="10" applyNumberFormat="1" applyFont="1" applyFill="1" applyBorder="1" applyAlignment="1">
      <alignment vertical="center"/>
    </xf>
    <xf numFmtId="0" fontId="51" fillId="69" borderId="31" xfId="10" applyFont="1" applyFill="1" applyBorder="1" applyAlignment="1">
      <alignment vertical="center"/>
    </xf>
    <xf numFmtId="0" fontId="51" fillId="69" borderId="35" xfId="10" applyFont="1" applyFill="1" applyBorder="1" applyAlignment="1">
      <alignment vertical="center"/>
    </xf>
    <xf numFmtId="0" fontId="51" fillId="69" borderId="37" xfId="10" applyFont="1" applyFill="1" applyBorder="1" applyAlignment="1">
      <alignment vertical="center"/>
    </xf>
    <xf numFmtId="16" fontId="51" fillId="69" borderId="31" xfId="10" applyNumberFormat="1" applyFont="1" applyFill="1" applyBorder="1" applyAlignment="1">
      <alignment vertical="center"/>
    </xf>
    <xf numFmtId="3" fontId="61" fillId="25" borderId="25" xfId="10" applyNumberFormat="1" applyFont="1" applyFill="1" applyBorder="1" applyAlignment="1">
      <alignment horizontal="right" vertical="center"/>
    </xf>
    <xf numFmtId="3" fontId="117" fillId="25" borderId="27" xfId="10" applyNumberFormat="1" applyFont="1" applyFill="1" applyBorder="1" applyAlignment="1">
      <alignment horizontal="right" vertical="center"/>
    </xf>
    <xf numFmtId="167" fontId="55" fillId="0" borderId="0" xfId="11" applyNumberFormat="1" applyFont="1" applyBorder="1"/>
    <xf numFmtId="167" fontId="55" fillId="0" borderId="0" xfId="11" applyNumberFormat="1" applyFont="1" applyFill="1" applyBorder="1"/>
    <xf numFmtId="167" fontId="54" fillId="0" borderId="0" xfId="11" applyNumberFormat="1" applyFont="1" applyFill="1" applyBorder="1"/>
    <xf numFmtId="167" fontId="95" fillId="0" borderId="0" xfId="12" applyNumberFormat="1" applyFont="1" applyFill="1" applyBorder="1"/>
    <xf numFmtId="167" fontId="95" fillId="0" borderId="0" xfId="11" applyNumberFormat="1" applyFont="1" applyFill="1" applyBorder="1"/>
    <xf numFmtId="3" fontId="56" fillId="0" borderId="0" xfId="10" applyNumberFormat="1" applyFont="1" applyAlignment="1">
      <alignment horizontal="right"/>
    </xf>
    <xf numFmtId="167" fontId="54" fillId="0" borderId="0" xfId="11" applyNumberFormat="1" applyFont="1" applyFill="1" applyBorder="1" applyAlignment="1">
      <alignment horizontal="left"/>
    </xf>
    <xf numFmtId="0" fontId="63" fillId="0" borderId="0" xfId="10" applyFont="1" applyAlignment="1">
      <alignment horizontal="right"/>
    </xf>
    <xf numFmtId="0" fontId="133" fillId="0" borderId="0" xfId="10" applyFont="1"/>
    <xf numFmtId="167" fontId="63" fillId="0" borderId="0" xfId="11" applyNumberFormat="1" applyFont="1" applyFill="1" applyBorder="1"/>
    <xf numFmtId="167" fontId="64" fillId="0" borderId="0" xfId="11" applyNumberFormat="1" applyFont="1" applyFill="1" applyBorder="1"/>
    <xf numFmtId="3" fontId="61" fillId="0" borderId="0" xfId="10" applyNumberFormat="1" applyFont="1"/>
    <xf numFmtId="3" fontId="134" fillId="0" borderId="0" xfId="10" applyNumberFormat="1" applyFont="1"/>
    <xf numFmtId="49" fontId="115" fillId="0" borderId="0" xfId="16" applyNumberFormat="1" applyFont="1" applyAlignment="1">
      <alignment wrapText="1"/>
    </xf>
    <xf numFmtId="3" fontId="114" fillId="0" borderId="0" xfId="16" applyNumberFormat="1" applyFont="1"/>
    <xf numFmtId="0" fontId="114" fillId="0" borderId="0" xfId="16" applyFont="1"/>
    <xf numFmtId="0" fontId="270" fillId="0" borderId="0" xfId="16" applyFont="1"/>
    <xf numFmtId="0" fontId="123" fillId="0" borderId="0" xfId="65" applyFont="1"/>
    <xf numFmtId="0" fontId="122" fillId="0" borderId="0" xfId="65" applyFont="1"/>
    <xf numFmtId="3" fontId="61" fillId="0" borderId="30" xfId="10" applyNumberFormat="1" applyFont="1" applyBorder="1"/>
    <xf numFmtId="167" fontId="63" fillId="0" borderId="30" xfId="11" applyNumberFormat="1" applyFont="1" applyFill="1" applyBorder="1"/>
    <xf numFmtId="167" fontId="64" fillId="0" borderId="30" xfId="11" applyNumberFormat="1" applyFont="1" applyFill="1" applyBorder="1"/>
    <xf numFmtId="167" fontId="64" fillId="0" borderId="30" xfId="11" applyNumberFormat="1" applyFont="1" applyBorder="1"/>
    <xf numFmtId="167" fontId="63" fillId="0" borderId="30" xfId="11" applyNumberFormat="1" applyFont="1" applyBorder="1"/>
    <xf numFmtId="167" fontId="65" fillId="0" borderId="30" xfId="12" applyNumberFormat="1" applyFont="1" applyBorder="1"/>
    <xf numFmtId="167" fontId="65" fillId="0" borderId="30" xfId="11" applyNumberFormat="1" applyFont="1" applyBorder="1"/>
    <xf numFmtId="0" fontId="63" fillId="0" borderId="30" xfId="10" applyFont="1" applyBorder="1" applyAlignment="1">
      <alignment horizontal="right"/>
    </xf>
    <xf numFmtId="167" fontId="95" fillId="0" borderId="30" xfId="12" applyNumberFormat="1" applyFont="1" applyFill="1" applyBorder="1"/>
    <xf numFmtId="167" fontId="95" fillId="0" borderId="30" xfId="11" applyNumberFormat="1" applyFont="1" applyFill="1" applyBorder="1"/>
    <xf numFmtId="0" fontId="61" fillId="0" borderId="30" xfId="10" applyFont="1" applyBorder="1" applyAlignment="1">
      <alignment horizontal="right" wrapText="1"/>
    </xf>
    <xf numFmtId="0" fontId="61" fillId="0" borderId="16" xfId="10" applyFont="1" applyBorder="1" applyAlignment="1">
      <alignment horizontal="right" wrapText="1"/>
    </xf>
    <xf numFmtId="3" fontId="61" fillId="0" borderId="85" xfId="10" applyNumberFormat="1" applyFont="1" applyBorder="1"/>
    <xf numFmtId="3" fontId="61" fillId="0" borderId="16" xfId="10" applyNumberFormat="1" applyFont="1" applyBorder="1"/>
    <xf numFmtId="43" fontId="56" fillId="0" borderId="0" xfId="1" applyFont="1" applyAlignment="1">
      <alignment vertical="center"/>
    </xf>
    <xf numFmtId="43" fontId="56" fillId="0" borderId="0" xfId="10" applyNumberFormat="1" applyFont="1" applyAlignment="1">
      <alignment vertical="center"/>
    </xf>
    <xf numFmtId="176" fontId="61" fillId="0" borderId="0" xfId="10" applyNumberFormat="1" applyFont="1" applyAlignment="1">
      <alignment horizontal="right" vertical="center"/>
    </xf>
    <xf numFmtId="169" fontId="63" fillId="0" borderId="0" xfId="2" applyNumberFormat="1" applyFont="1" applyAlignment="1">
      <alignment vertical="center"/>
    </xf>
    <xf numFmtId="0" fontId="56" fillId="0" borderId="0" xfId="10" applyFont="1" applyAlignment="1">
      <alignment wrapText="1"/>
    </xf>
    <xf numFmtId="0" fontId="56" fillId="0" borderId="45" xfId="10" applyFont="1" applyBorder="1" applyAlignment="1">
      <alignment wrapText="1"/>
    </xf>
    <xf numFmtId="0" fontId="115" fillId="0" borderId="0" xfId="10" applyFont="1" applyAlignment="1">
      <alignment horizontal="right"/>
    </xf>
    <xf numFmtId="167" fontId="66" fillId="0" borderId="0" xfId="11" applyNumberFormat="1" applyFont="1" applyFill="1"/>
    <xf numFmtId="167" fontId="56" fillId="0" borderId="0" xfId="11" applyNumberFormat="1" applyFont="1" applyFill="1"/>
    <xf numFmtId="167" fontId="111" fillId="0" borderId="0" xfId="12" applyNumberFormat="1" applyFont="1" applyFill="1"/>
    <xf numFmtId="167" fontId="111" fillId="0" borderId="0" xfId="11" applyNumberFormat="1" applyFont="1" applyFill="1"/>
    <xf numFmtId="168" fontId="56" fillId="0" borderId="0" xfId="14" applyNumberFormat="1" applyFont="1" applyFill="1"/>
    <xf numFmtId="168" fontId="137" fillId="0" borderId="0" xfId="14" applyNumberFormat="1" applyFont="1" applyFill="1"/>
    <xf numFmtId="0" fontId="61" fillId="0" borderId="0" xfId="10" applyFont="1"/>
    <xf numFmtId="0" fontId="115" fillId="0" borderId="0" xfId="10" applyFont="1" applyAlignment="1">
      <alignment horizontal="right" vertical="center"/>
    </xf>
    <xf numFmtId="167" fontId="62" fillId="0" borderId="0" xfId="11" applyNumberFormat="1" applyFont="1" applyFill="1" applyBorder="1" applyAlignment="1">
      <alignment horizontal="center" vertical="center"/>
    </xf>
    <xf numFmtId="167" fontId="110" fillId="0" borderId="0" xfId="12" applyNumberFormat="1" applyFont="1" applyFill="1" applyBorder="1" applyAlignment="1">
      <alignment horizontal="center" vertical="center"/>
    </xf>
    <xf numFmtId="167" fontId="110" fillId="0" borderId="0" xfId="11" applyNumberFormat="1" applyFont="1" applyFill="1" applyBorder="1" applyAlignment="1">
      <alignment horizontal="center" vertical="center"/>
    </xf>
    <xf numFmtId="3" fontId="134" fillId="0" borderId="0" xfId="10" applyNumberFormat="1" applyFont="1" applyAlignment="1">
      <alignment vertical="center"/>
    </xf>
    <xf numFmtId="167" fontId="66" fillId="0" borderId="0" xfId="11" applyNumberFormat="1" applyFont="1" applyFill="1" applyBorder="1"/>
    <xf numFmtId="167" fontId="56" fillId="0" borderId="0" xfId="11" applyNumberFormat="1" applyFont="1" applyFill="1" applyBorder="1"/>
    <xf numFmtId="167" fontId="111" fillId="0" borderId="0" xfId="12" applyNumberFormat="1" applyFont="1" applyFill="1" applyBorder="1"/>
    <xf numFmtId="167" fontId="111" fillId="0" borderId="0" xfId="11" applyNumberFormat="1" applyFont="1" applyFill="1" applyBorder="1"/>
    <xf numFmtId="168" fontId="56" fillId="0" borderId="0" xfId="14" applyNumberFormat="1" applyFont="1" applyFill="1" applyBorder="1"/>
    <xf numFmtId="168" fontId="137" fillId="0" borderId="0" xfId="14" applyNumberFormat="1" applyFont="1" applyFill="1" applyBorder="1"/>
    <xf numFmtId="3" fontId="95" fillId="0" borderId="0" xfId="10" applyNumberFormat="1" applyFont="1"/>
    <xf numFmtId="43" fontId="54" fillId="0" borderId="0" xfId="10" applyNumberFormat="1" applyFont="1"/>
    <xf numFmtId="43" fontId="54" fillId="0" borderId="0" xfId="1" applyFont="1" applyFill="1" applyBorder="1"/>
    <xf numFmtId="167" fontId="54" fillId="0" borderId="0" xfId="1" applyNumberFormat="1" applyFont="1" applyFill="1" applyBorder="1"/>
    <xf numFmtId="3" fontId="66" fillId="0" borderId="0" xfId="10" applyNumberFormat="1" applyFont="1"/>
    <xf numFmtId="0" fontId="63" fillId="0" borderId="85" xfId="10" applyFont="1" applyBorder="1" applyAlignment="1">
      <alignment horizontal="center" vertical="center"/>
    </xf>
    <xf numFmtId="0" fontId="63" fillId="0" borderId="57" xfId="10" applyFont="1" applyBorder="1" applyAlignment="1">
      <alignment horizontal="center" vertical="center"/>
    </xf>
    <xf numFmtId="167" fontId="117" fillId="0" borderId="85" xfId="11" applyNumberFormat="1" applyFont="1" applyFill="1" applyBorder="1" applyAlignment="1">
      <alignment horizontal="center" vertical="center"/>
    </xf>
    <xf numFmtId="167" fontId="110" fillId="0" borderId="85" xfId="11" applyNumberFormat="1" applyFont="1" applyFill="1" applyBorder="1" applyAlignment="1">
      <alignment horizontal="center" vertical="center"/>
    </xf>
    <xf numFmtId="0" fontId="118" fillId="0" borderId="85" xfId="65" applyFont="1" applyBorder="1"/>
    <xf numFmtId="167" fontId="63" fillId="0" borderId="85" xfId="12" applyNumberFormat="1" applyFont="1" applyFill="1" applyBorder="1" applyAlignment="1">
      <alignment horizontal="center" vertical="center"/>
    </xf>
    <xf numFmtId="167" fontId="63" fillId="0" borderId="85" xfId="11" applyNumberFormat="1" applyFont="1" applyFill="1" applyBorder="1" applyAlignment="1">
      <alignment horizontal="center" vertical="center"/>
    </xf>
    <xf numFmtId="3" fontId="117" fillId="0" borderId="40" xfId="10" applyNumberFormat="1" applyFont="1" applyBorder="1" applyAlignment="1">
      <alignment horizontal="right" vertical="center"/>
    </xf>
    <xf numFmtId="0" fontId="94" fillId="57" borderId="31" xfId="10" applyFont="1" applyFill="1" applyBorder="1" applyAlignment="1">
      <alignment vertical="center"/>
    </xf>
    <xf numFmtId="0" fontId="114" fillId="0" borderId="24" xfId="10" applyFont="1" applyBorder="1" applyAlignment="1">
      <alignment vertical="center" wrapText="1"/>
    </xf>
    <xf numFmtId="0" fontId="114" fillId="0" borderId="22" xfId="10" applyFont="1" applyBorder="1" applyAlignment="1">
      <alignment horizontal="center" vertical="center"/>
    </xf>
    <xf numFmtId="14" fontId="114" fillId="0" borderId="32" xfId="10" applyNumberFormat="1" applyFont="1" applyBorder="1" applyAlignment="1">
      <alignment horizontal="center" vertical="center"/>
    </xf>
    <xf numFmtId="0" fontId="114" fillId="0" borderId="57" xfId="10" applyFont="1" applyBorder="1" applyAlignment="1">
      <alignment vertical="center" wrapText="1"/>
    </xf>
    <xf numFmtId="167" fontId="90" fillId="0" borderId="0" xfId="1" applyNumberFormat="1" applyFont="1" applyFill="1"/>
    <xf numFmtId="167" fontId="0" fillId="9" borderId="0" xfId="0" applyNumberFormat="1" applyFill="1"/>
    <xf numFmtId="0" fontId="90" fillId="5" borderId="127" xfId="0" applyFont="1" applyFill="1" applyBorder="1"/>
    <xf numFmtId="0" fontId="38" fillId="6" borderId="90" xfId="43" applyFont="1" applyFill="1" applyBorder="1" applyAlignment="1">
      <alignment horizontal="left" indent="2"/>
    </xf>
    <xf numFmtId="0" fontId="105" fillId="11" borderId="127" xfId="0" applyFont="1" applyFill="1" applyBorder="1" applyAlignment="1">
      <alignment horizontal="center" wrapText="1"/>
    </xf>
    <xf numFmtId="0" fontId="53" fillId="13" borderId="0" xfId="0" applyFont="1" applyFill="1"/>
    <xf numFmtId="164" fontId="53" fillId="13" borderId="0" xfId="0" applyNumberFormat="1" applyFont="1" applyFill="1"/>
    <xf numFmtId="167" fontId="84" fillId="22" borderId="123" xfId="1" applyNumberFormat="1" applyFont="1" applyFill="1" applyBorder="1"/>
    <xf numFmtId="0" fontId="53" fillId="17" borderId="112" xfId="0" applyFont="1" applyFill="1" applyBorder="1" applyAlignment="1">
      <alignment horizontal="right"/>
    </xf>
    <xf numFmtId="0" fontId="250" fillId="58" borderId="0" xfId="0" applyFont="1" applyFill="1"/>
    <xf numFmtId="0" fontId="266" fillId="58" borderId="42" xfId="0" applyFont="1" applyFill="1" applyBorder="1" applyAlignment="1">
      <alignment horizontal="right"/>
    </xf>
    <xf numFmtId="3" fontId="250" fillId="58" borderId="0" xfId="0" applyNumberFormat="1" applyFont="1" applyFill="1"/>
    <xf numFmtId="0" fontId="38" fillId="6" borderId="122" xfId="43" applyFont="1" applyFill="1" applyBorder="1" applyAlignment="1">
      <alignment horizontal="left" wrapText="1" indent="3"/>
    </xf>
    <xf numFmtId="3" fontId="40" fillId="0" borderId="89" xfId="43" applyNumberFormat="1" applyFont="1" applyBorder="1"/>
    <xf numFmtId="0" fontId="38" fillId="0" borderId="122" xfId="43" applyFont="1" applyBorder="1" applyAlignment="1">
      <alignment horizontal="left" wrapText="1" indent="3"/>
    </xf>
    <xf numFmtId="43" fontId="90" fillId="0" borderId="0" xfId="1" applyFont="1" applyFill="1" applyAlignment="1">
      <alignment wrapText="1"/>
    </xf>
    <xf numFmtId="3" fontId="40" fillId="0" borderId="93" xfId="43" applyNumberFormat="1" applyFont="1" applyBorder="1"/>
    <xf numFmtId="167" fontId="90" fillId="9" borderId="127" xfId="1" applyNumberFormat="1" applyFont="1" applyFill="1" applyBorder="1"/>
    <xf numFmtId="167" fontId="125" fillId="0" borderId="0" xfId="1" applyNumberFormat="1" applyFont="1"/>
    <xf numFmtId="167" fontId="90" fillId="7" borderId="127" xfId="1" applyNumberFormat="1" applyFont="1" applyFill="1" applyBorder="1"/>
    <xf numFmtId="167" fontId="271" fillId="0" borderId="0" xfId="1" applyNumberFormat="1" applyFont="1" applyFill="1"/>
    <xf numFmtId="167" fontId="105" fillId="21" borderId="0" xfId="1" applyNumberFormat="1" applyFont="1" applyFill="1"/>
    <xf numFmtId="0" fontId="105" fillId="21" borderId="0" xfId="0" applyFont="1" applyFill="1"/>
    <xf numFmtId="167" fontId="90" fillId="21" borderId="0" xfId="1" applyNumberFormat="1" applyFont="1" applyFill="1"/>
    <xf numFmtId="0" fontId="90" fillId="21" borderId="0" xfId="0" applyFont="1" applyFill="1"/>
    <xf numFmtId="167" fontId="105" fillId="21" borderId="0" xfId="0" applyNumberFormat="1" applyFont="1" applyFill="1"/>
    <xf numFmtId="0" fontId="90" fillId="21" borderId="0" xfId="0" applyFont="1" applyFill="1" applyAlignment="1">
      <alignment wrapText="1"/>
    </xf>
    <xf numFmtId="0" fontId="272" fillId="0" borderId="48" xfId="0" applyFont="1" applyBorder="1"/>
    <xf numFmtId="167" fontId="272" fillId="0" borderId="45" xfId="1" applyNumberFormat="1" applyFont="1" applyBorder="1"/>
    <xf numFmtId="3" fontId="0" fillId="0" borderId="45" xfId="0" applyNumberFormat="1" applyBorder="1"/>
    <xf numFmtId="167" fontId="0" fillId="0" borderId="45" xfId="0" applyNumberFormat="1" applyBorder="1"/>
    <xf numFmtId="0" fontId="0" fillId="0" borderId="45" xfId="0" applyBorder="1"/>
    <xf numFmtId="0" fontId="0" fillId="0" borderId="49" xfId="0" applyBorder="1"/>
    <xf numFmtId="0" fontId="272" fillId="0" borderId="50" xfId="0" applyFont="1" applyBorder="1"/>
    <xf numFmtId="0" fontId="272" fillId="0" borderId="0" xfId="0" applyFont="1"/>
    <xf numFmtId="167" fontId="272" fillId="0" borderId="0" xfId="1" applyNumberFormat="1" applyFont="1" applyBorder="1"/>
    <xf numFmtId="167" fontId="272" fillId="0" borderId="0" xfId="1" applyNumberFormat="1" applyFont="1" applyFill="1" applyBorder="1"/>
    <xf numFmtId="0" fontId="0" fillId="0" borderId="44" xfId="0" applyBorder="1"/>
    <xf numFmtId="0" fontId="272" fillId="0" borderId="28" xfId="0" applyFont="1" applyBorder="1"/>
    <xf numFmtId="0" fontId="272" fillId="0" borderId="30" xfId="0" applyFont="1" applyBorder="1"/>
    <xf numFmtId="167" fontId="0" fillId="0" borderId="30" xfId="0" applyNumberFormat="1" applyBorder="1"/>
    <xf numFmtId="0" fontId="0" fillId="0" borderId="17" xfId="0" applyBorder="1"/>
    <xf numFmtId="167" fontId="90" fillId="21" borderId="127" xfId="1" applyNumberFormat="1" applyFont="1" applyFill="1" applyBorder="1"/>
    <xf numFmtId="164" fontId="0" fillId="0" borderId="0" xfId="0" applyNumberFormat="1"/>
    <xf numFmtId="43" fontId="39" fillId="3" borderId="11" xfId="1" quotePrefix="1" applyFont="1" applyFill="1" applyBorder="1"/>
    <xf numFmtId="167" fontId="273" fillId="0" borderId="0" xfId="1" applyNumberFormat="1" applyFont="1" applyBorder="1"/>
    <xf numFmtId="167" fontId="273" fillId="0" borderId="0" xfId="1" applyNumberFormat="1" applyFont="1" applyFill="1" applyBorder="1"/>
    <xf numFmtId="167" fontId="273" fillId="0" borderId="0" xfId="1" applyNumberFormat="1" applyFont="1" applyFill="1" applyBorder="1" applyAlignment="1">
      <alignment horizontal="left"/>
    </xf>
    <xf numFmtId="167" fontId="274" fillId="0" borderId="0" xfId="1" applyNumberFormat="1" applyFont="1" applyBorder="1"/>
    <xf numFmtId="167" fontId="274" fillId="0" borderId="30" xfId="1" applyNumberFormat="1" applyFont="1" applyBorder="1"/>
    <xf numFmtId="167" fontId="273" fillId="0" borderId="30" xfId="1" applyNumberFormat="1" applyFont="1" applyFill="1" applyBorder="1" applyAlignment="1">
      <alignment horizontal="left"/>
    </xf>
    <xf numFmtId="3" fontId="275" fillId="0" borderId="73" xfId="3" applyNumberFormat="1" applyFont="1" applyBorder="1"/>
    <xf numFmtId="167" fontId="90" fillId="0" borderId="0" xfId="1" applyNumberFormat="1" applyFont="1" applyAlignment="1">
      <alignment wrapText="1"/>
    </xf>
    <xf numFmtId="9" fontId="272" fillId="0" borderId="45" xfId="0" applyNumberFormat="1" applyFont="1" applyBorder="1" applyAlignment="1">
      <alignment horizontal="left"/>
    </xf>
    <xf numFmtId="9" fontId="272" fillId="0" borderId="0" xfId="0" applyNumberFormat="1" applyFont="1" applyAlignment="1">
      <alignment horizontal="left"/>
    </xf>
    <xf numFmtId="167" fontId="276" fillId="0" borderId="0" xfId="1" quotePrefix="1" applyNumberFormat="1" applyFont="1"/>
    <xf numFmtId="167" fontId="97" fillId="0" borderId="139" xfId="0" applyNumberFormat="1" applyFont="1" applyBorder="1"/>
    <xf numFmtId="167" fontId="178" fillId="0" borderId="139" xfId="0" applyNumberFormat="1" applyFont="1" applyBorder="1"/>
    <xf numFmtId="167" fontId="180" fillId="0" borderId="0" xfId="0" applyNumberFormat="1" applyFont="1"/>
    <xf numFmtId="3" fontId="276" fillId="0" borderId="0" xfId="0" quotePrefix="1" applyNumberFormat="1" applyFont="1"/>
    <xf numFmtId="0" fontId="276" fillId="0" borderId="0" xfId="0" quotePrefix="1" applyFont="1"/>
    <xf numFmtId="0" fontId="277" fillId="0" borderId="0" xfId="0" quotePrefix="1" applyFont="1"/>
    <xf numFmtId="167" fontId="278" fillId="0" borderId="0" xfId="1" quotePrefix="1" applyNumberFormat="1" applyFont="1"/>
    <xf numFmtId="0" fontId="279" fillId="0" borderId="0" xfId="0" quotePrefix="1" applyFont="1"/>
    <xf numFmtId="167" fontId="279" fillId="0" borderId="0" xfId="1" quotePrefix="1" applyNumberFormat="1" applyFont="1"/>
    <xf numFmtId="3" fontId="189" fillId="0" borderId="0" xfId="0" applyNumberFormat="1" applyFont="1"/>
    <xf numFmtId="43" fontId="187" fillId="5" borderId="73" xfId="1" applyFont="1" applyFill="1" applyBorder="1"/>
    <xf numFmtId="49" fontId="187" fillId="5" borderId="55" xfId="43" applyNumberFormat="1" applyFont="1" applyFill="1" applyBorder="1" applyAlignment="1">
      <alignment horizontal="right" wrapText="1" indent="2"/>
    </xf>
    <xf numFmtId="3" fontId="187" fillId="5" borderId="54" xfId="43" applyNumberFormat="1" applyFont="1" applyFill="1" applyBorder="1"/>
    <xf numFmtId="43" fontId="187" fillId="5" borderId="54" xfId="1" applyFont="1" applyFill="1" applyBorder="1"/>
    <xf numFmtId="0" fontId="164" fillId="0" borderId="0" xfId="0" applyFont="1" applyAlignment="1">
      <alignment wrapText="1"/>
    </xf>
    <xf numFmtId="49" fontId="187" fillId="5" borderId="114" xfId="43" applyNumberFormat="1" applyFont="1" applyFill="1" applyBorder="1" applyAlignment="1">
      <alignment horizontal="right" wrapText="1" indent="2"/>
    </xf>
    <xf numFmtId="167" fontId="279" fillId="0" borderId="0" xfId="1" quotePrefix="1" applyNumberFormat="1" applyFont="1" applyFill="1"/>
    <xf numFmtId="49" fontId="187" fillId="0" borderId="52" xfId="43" applyNumberFormat="1" applyFont="1" applyBorder="1" applyAlignment="1">
      <alignment horizontal="left" indent="1"/>
    </xf>
    <xf numFmtId="49" fontId="187" fillId="0" borderId="114" xfId="43" applyNumberFormat="1" applyFont="1" applyBorder="1" applyAlignment="1">
      <alignment horizontal="right" wrapText="1" indent="2"/>
    </xf>
    <xf numFmtId="9" fontId="187" fillId="0" borderId="11" xfId="2" applyFont="1" applyFill="1" applyBorder="1" applyAlignment="1">
      <alignment horizontal="right"/>
    </xf>
    <xf numFmtId="43" fontId="187" fillId="0" borderId="89" xfId="1" applyFont="1" applyFill="1" applyBorder="1"/>
    <xf numFmtId="49" fontId="187" fillId="5" borderId="79" xfId="43" applyNumberFormat="1" applyFont="1" applyFill="1" applyBorder="1" applyAlignment="1">
      <alignment horizontal="right" wrapText="1" indent="2"/>
    </xf>
    <xf numFmtId="0" fontId="187" fillId="5" borderId="47" xfId="43" applyFont="1" applyFill="1" applyBorder="1" applyAlignment="1">
      <alignment horizontal="left" indent="3"/>
    </xf>
    <xf numFmtId="43" fontId="187" fillId="5" borderId="89" xfId="1" applyFont="1" applyFill="1" applyBorder="1" applyAlignment="1">
      <alignment wrapText="1"/>
    </xf>
    <xf numFmtId="3" fontId="49" fillId="0" borderId="11" xfId="3" applyNumberFormat="1" applyFont="1" applyBorder="1"/>
    <xf numFmtId="49" fontId="280" fillId="5" borderId="52" xfId="43" applyNumberFormat="1" applyFont="1" applyFill="1" applyBorder="1" applyAlignment="1">
      <alignment horizontal="left" indent="1"/>
    </xf>
    <xf numFmtId="49" fontId="280" fillId="5" borderId="53" xfId="43" applyNumberFormat="1" applyFont="1" applyFill="1" applyBorder="1" applyAlignment="1">
      <alignment horizontal="right" wrapText="1" indent="2"/>
    </xf>
    <xf numFmtId="3" fontId="280" fillId="5" borderId="11" xfId="43" applyNumberFormat="1" applyFont="1" applyFill="1" applyBorder="1"/>
    <xf numFmtId="9" fontId="280" fillId="5" borderId="11" xfId="2" applyFont="1" applyFill="1" applyBorder="1" applyAlignment="1">
      <alignment horizontal="right"/>
    </xf>
    <xf numFmtId="43" fontId="280" fillId="5" borderId="11" xfId="1" applyFont="1" applyFill="1" applyBorder="1"/>
    <xf numFmtId="0" fontId="281" fillId="0" borderId="0" xfId="0" applyFont="1" applyAlignment="1">
      <alignment wrapText="1"/>
    </xf>
    <xf numFmtId="0" fontId="281" fillId="0" borderId="0" xfId="0" applyFont="1"/>
    <xf numFmtId="0" fontId="281" fillId="5" borderId="0" xfId="0" applyFont="1" applyFill="1"/>
    <xf numFmtId="0" fontId="282" fillId="0" borderId="0" xfId="0" quotePrefix="1" applyFont="1"/>
    <xf numFmtId="167" fontId="282" fillId="0" borderId="0" xfId="1" quotePrefix="1" applyNumberFormat="1" applyFont="1"/>
    <xf numFmtId="3" fontId="280" fillId="5" borderId="11" xfId="3" applyNumberFormat="1" applyFont="1" applyFill="1" applyBorder="1"/>
    <xf numFmtId="3" fontId="281" fillId="0" borderId="0" xfId="0" applyNumberFormat="1" applyFont="1"/>
    <xf numFmtId="49" fontId="280" fillId="5" borderId="9" xfId="43" applyNumberFormat="1" applyFont="1" applyFill="1" applyBorder="1" applyAlignment="1">
      <alignment horizontal="left" indent="1"/>
    </xf>
    <xf numFmtId="49" fontId="280" fillId="5" borderId="10" xfId="43" applyNumberFormat="1" applyFont="1" applyFill="1" applyBorder="1" applyAlignment="1">
      <alignment horizontal="right" wrapText="1" indent="2"/>
    </xf>
    <xf numFmtId="49" fontId="126" fillId="4" borderId="9" xfId="43" applyNumberFormat="1" applyFont="1" applyFill="1" applyBorder="1"/>
    <xf numFmtId="49" fontId="126" fillId="4" borderId="10" xfId="43" applyNumberFormat="1" applyFont="1" applyFill="1" applyBorder="1" applyAlignment="1">
      <alignment wrapText="1"/>
    </xf>
    <xf numFmtId="3" fontId="126" fillId="4" borderId="11" xfId="3" applyNumberFormat="1" applyFont="1" applyFill="1" applyBorder="1"/>
    <xf numFmtId="9" fontId="126" fillId="4" borderId="11" xfId="2" applyFont="1" applyFill="1" applyBorder="1" applyAlignment="1">
      <alignment horizontal="right"/>
    </xf>
    <xf numFmtId="167" fontId="126" fillId="4" borderId="11" xfId="1" applyNumberFormat="1" applyFont="1" applyFill="1" applyBorder="1"/>
    <xf numFmtId="49" fontId="188" fillId="5" borderId="9" xfId="43" applyNumberFormat="1" applyFont="1" applyFill="1" applyBorder="1" applyAlignment="1">
      <alignment horizontal="left" indent="1"/>
    </xf>
    <xf numFmtId="49" fontId="188" fillId="0" borderId="10" xfId="43" applyNumberFormat="1" applyFont="1" applyBorder="1" applyAlignment="1">
      <alignment horizontal="right" wrapText="1" indent="2"/>
    </xf>
    <xf numFmtId="3" fontId="188" fillId="0" borderId="11" xfId="3" applyNumberFormat="1" applyFont="1" applyBorder="1"/>
    <xf numFmtId="3" fontId="188" fillId="0" borderId="11" xfId="43" applyNumberFormat="1" applyFont="1" applyBorder="1"/>
    <xf numFmtId="9" fontId="188" fillId="0" borderId="11" xfId="2" applyFont="1" applyBorder="1" applyAlignment="1">
      <alignment horizontal="right"/>
    </xf>
    <xf numFmtId="167" fontId="188" fillId="5" borderId="11" xfId="1" applyNumberFormat="1" applyFont="1" applyFill="1" applyBorder="1"/>
    <xf numFmtId="167" fontId="187" fillId="5" borderId="11" xfId="1" applyNumberFormat="1" applyFont="1" applyFill="1" applyBorder="1"/>
    <xf numFmtId="49" fontId="187" fillId="5" borderId="72" xfId="43" applyNumberFormat="1" applyFont="1" applyFill="1" applyBorder="1" applyAlignment="1">
      <alignment horizontal="left" indent="1"/>
    </xf>
    <xf numFmtId="9" fontId="187" fillId="0" borderId="73" xfId="2" applyFont="1" applyBorder="1" applyAlignment="1">
      <alignment horizontal="right"/>
    </xf>
    <xf numFmtId="167" fontId="187" fillId="5" borderId="73" xfId="1" applyNumberFormat="1" applyFont="1" applyFill="1" applyBorder="1"/>
    <xf numFmtId="49" fontId="166" fillId="0" borderId="9" xfId="43" applyNumberFormat="1" applyFont="1" applyBorder="1" applyAlignment="1">
      <alignment horizontal="left" indent="2"/>
    </xf>
    <xf numFmtId="3" fontId="166" fillId="6" borderId="54" xfId="43" applyNumberFormat="1" applyFont="1" applyFill="1" applyBorder="1"/>
    <xf numFmtId="9" fontId="166" fillId="6" borderId="54" xfId="2" applyFont="1" applyFill="1" applyBorder="1" applyAlignment="1">
      <alignment horizontal="right"/>
    </xf>
    <xf numFmtId="167" fontId="166" fillId="6" borderId="54" xfId="1" applyNumberFormat="1" applyFont="1" applyFill="1" applyBorder="1"/>
    <xf numFmtId="49" fontId="187" fillId="5" borderId="90" xfId="43" applyNumberFormat="1" applyFont="1" applyFill="1" applyBorder="1" applyAlignment="1">
      <alignment horizontal="left" indent="1"/>
    </xf>
    <xf numFmtId="167" fontId="166" fillId="5" borderId="89" xfId="1" applyNumberFormat="1" applyFont="1" applyFill="1" applyBorder="1"/>
    <xf numFmtId="167" fontId="187" fillId="5" borderId="87" xfId="1" applyNumberFormat="1" applyFont="1" applyFill="1" applyBorder="1"/>
    <xf numFmtId="167" fontId="187" fillId="5" borderId="89" xfId="1" applyNumberFormat="1" applyFont="1" applyFill="1" applyBorder="1"/>
    <xf numFmtId="3" fontId="187" fillId="0" borderId="87" xfId="43" applyNumberFormat="1" applyFont="1" applyBorder="1"/>
    <xf numFmtId="9" fontId="187" fillId="0" borderId="87" xfId="2" applyFont="1" applyBorder="1" applyAlignment="1">
      <alignment horizontal="right"/>
    </xf>
    <xf numFmtId="3" fontId="187" fillId="0" borderId="89" xfId="43" applyNumberFormat="1" applyFont="1" applyBorder="1"/>
    <xf numFmtId="9" fontId="187" fillId="0" borderId="89" xfId="2" applyFont="1" applyBorder="1" applyAlignment="1">
      <alignment horizontal="right"/>
    </xf>
    <xf numFmtId="3" fontId="187" fillId="5" borderId="89" xfId="43" applyNumberFormat="1" applyFont="1" applyFill="1" applyBorder="1"/>
    <xf numFmtId="9" fontId="187" fillId="5" borderId="89" xfId="2" applyFont="1" applyFill="1" applyBorder="1" applyAlignment="1">
      <alignment horizontal="right"/>
    </xf>
    <xf numFmtId="0" fontId="90" fillId="0" borderId="0" xfId="0" applyFont="1" applyAlignment="1">
      <alignment horizontal="center" wrapText="1"/>
    </xf>
    <xf numFmtId="167" fontId="90" fillId="0" borderId="127" xfId="0" applyNumberFormat="1" applyFont="1" applyBorder="1" applyAlignment="1">
      <alignment horizontal="center" wrapText="1"/>
    </xf>
    <xf numFmtId="0" fontId="90" fillId="0" borderId="127" xfId="0" applyFont="1" applyBorder="1" applyAlignment="1">
      <alignment horizontal="center" wrapText="1"/>
    </xf>
    <xf numFmtId="167" fontId="105" fillId="11" borderId="127" xfId="1" applyNumberFormat="1" applyFont="1" applyFill="1" applyBorder="1"/>
    <xf numFmtId="167" fontId="105" fillId="0" borderId="0" xfId="1" applyNumberFormat="1" applyFont="1" applyFill="1" applyBorder="1"/>
    <xf numFmtId="167" fontId="90" fillId="0" borderId="0" xfId="1" applyNumberFormat="1" applyFont="1" applyBorder="1"/>
    <xf numFmtId="0" fontId="105" fillId="0" borderId="0" xfId="0" applyFont="1" applyAlignment="1">
      <alignment horizontal="center" wrapText="1"/>
    </xf>
    <xf numFmtId="167" fontId="90" fillId="0" borderId="127" xfId="1" applyNumberFormat="1" applyFont="1" applyBorder="1" applyAlignment="1">
      <alignment wrapText="1"/>
    </xf>
    <xf numFmtId="167" fontId="90" fillId="0" borderId="0" xfId="1" applyNumberFormat="1" applyFont="1" applyFill="1" applyBorder="1" applyAlignment="1">
      <alignment wrapText="1"/>
    </xf>
    <xf numFmtId="167" fontId="90" fillId="10" borderId="127" xfId="1" applyNumberFormat="1" applyFont="1" applyFill="1" applyBorder="1"/>
    <xf numFmtId="167" fontId="90" fillId="0" borderId="0" xfId="1" applyNumberFormat="1" applyFont="1" applyFill="1" applyBorder="1" applyAlignment="1">
      <alignment horizontal="center"/>
    </xf>
    <xf numFmtId="167" fontId="263" fillId="20" borderId="127" xfId="1" applyNumberFormat="1" applyFont="1" applyFill="1" applyBorder="1"/>
    <xf numFmtId="167" fontId="263" fillId="0" borderId="0" xfId="1" applyNumberFormat="1" applyFont="1" applyFill="1" applyBorder="1"/>
    <xf numFmtId="167" fontId="90" fillId="20" borderId="127" xfId="1" applyNumberFormat="1" applyFont="1" applyFill="1" applyBorder="1"/>
    <xf numFmtId="167" fontId="105" fillId="11" borderId="127" xfId="1" applyNumberFormat="1" applyFont="1" applyFill="1" applyBorder="1" applyAlignment="1">
      <alignment horizontal="center" wrapText="1"/>
    </xf>
    <xf numFmtId="167" fontId="90" fillId="0" borderId="0" xfId="1" applyNumberFormat="1" applyFont="1" applyFill="1" applyBorder="1" applyAlignment="1">
      <alignment horizontal="center" wrapText="1"/>
    </xf>
    <xf numFmtId="167" fontId="90" fillId="0" borderId="127" xfId="1" applyNumberFormat="1" applyFont="1" applyFill="1" applyBorder="1" applyAlignment="1">
      <alignment wrapText="1"/>
    </xf>
    <xf numFmtId="167" fontId="90" fillId="17" borderId="127" xfId="1" applyNumberFormat="1" applyFont="1" applyFill="1" applyBorder="1"/>
    <xf numFmtId="167" fontId="105" fillId="11" borderId="127" xfId="0" applyNumberFormat="1" applyFont="1" applyFill="1" applyBorder="1"/>
    <xf numFmtId="49" fontId="84" fillId="0" borderId="127" xfId="0" applyNumberFormat="1" applyFont="1" applyBorder="1" applyAlignment="1">
      <alignment horizontal="left"/>
    </xf>
    <xf numFmtId="0" fontId="0" fillId="0" borderId="127" xfId="0" quotePrefix="1" applyBorder="1" applyAlignment="1">
      <alignment horizontal="left"/>
    </xf>
    <xf numFmtId="49" fontId="0" fillId="0" borderId="127" xfId="0" quotePrefix="1" applyNumberFormat="1" applyBorder="1" applyAlignment="1">
      <alignment horizontal="left"/>
    </xf>
    <xf numFmtId="0" fontId="0" fillId="0" borderId="122" xfId="0" applyBorder="1"/>
    <xf numFmtId="0" fontId="0" fillId="0" borderId="122" xfId="0" applyBorder="1" applyAlignment="1">
      <alignment wrapText="1"/>
    </xf>
    <xf numFmtId="49" fontId="90" fillId="0" borderId="42" xfId="0" applyNumberFormat="1" applyFont="1" applyBorder="1" applyAlignment="1">
      <alignment wrapText="1"/>
    </xf>
    <xf numFmtId="43" fontId="0" fillId="0" borderId="122" xfId="1" applyFont="1" applyBorder="1"/>
    <xf numFmtId="43" fontId="53" fillId="0" borderId="122" xfId="1" applyFont="1" applyBorder="1"/>
    <xf numFmtId="0" fontId="53" fillId="0" borderId="122" xfId="0" applyFont="1" applyBorder="1"/>
    <xf numFmtId="0" fontId="32" fillId="0" borderId="0" xfId="43"/>
    <xf numFmtId="3" fontId="38" fillId="0" borderId="94" xfId="43" applyNumberFormat="1" applyFont="1" applyBorder="1" applyAlignment="1">
      <alignment horizontal="right" vertical="center"/>
    </xf>
    <xf numFmtId="3" fontId="38" fillId="0" borderId="43" xfId="43" applyNumberFormat="1" applyFont="1" applyBorder="1" applyAlignment="1">
      <alignment horizontal="right" vertical="center"/>
    </xf>
    <xf numFmtId="9" fontId="38" fillId="0" borderId="94" xfId="2" applyFont="1" applyBorder="1" applyAlignment="1">
      <alignment horizontal="right" vertical="center"/>
    </xf>
    <xf numFmtId="9" fontId="38" fillId="0" borderId="43" xfId="2" applyFont="1" applyBorder="1" applyAlignment="1">
      <alignment horizontal="right" vertical="center"/>
    </xf>
    <xf numFmtId="0" fontId="105" fillId="11" borderId="127" xfId="0" applyFont="1" applyFill="1" applyBorder="1" applyAlignment="1">
      <alignment horizontal="center"/>
    </xf>
    <xf numFmtId="0" fontId="53" fillId="11" borderId="127" xfId="0" applyFont="1" applyFill="1" applyBorder="1" applyAlignment="1">
      <alignment horizontal="center" wrapText="1"/>
    </xf>
    <xf numFmtId="0" fontId="53" fillId="11" borderId="155" xfId="0" applyFont="1" applyFill="1" applyBorder="1" applyAlignment="1">
      <alignment horizontal="center" wrapText="1"/>
    </xf>
    <xf numFmtId="0" fontId="53" fillId="11" borderId="156" xfId="0" applyFont="1" applyFill="1" applyBorder="1" applyAlignment="1">
      <alignment horizontal="center" wrapText="1"/>
    </xf>
    <xf numFmtId="0" fontId="105" fillId="11" borderId="127" xfId="0" applyFont="1" applyFill="1" applyBorder="1" applyAlignment="1">
      <alignment horizontal="center" wrapText="1"/>
    </xf>
    <xf numFmtId="167" fontId="90" fillId="0" borderId="155" xfId="1" applyNumberFormat="1" applyFont="1" applyFill="1" applyBorder="1" applyAlignment="1">
      <alignment horizontal="center"/>
    </xf>
    <xf numFmtId="167" fontId="90" fillId="0" borderId="156" xfId="1" applyNumberFormat="1" applyFont="1" applyFill="1" applyBorder="1" applyAlignment="1">
      <alignment horizontal="center"/>
    </xf>
    <xf numFmtId="0" fontId="53" fillId="11" borderId="127" xfId="0" applyFont="1" applyFill="1" applyBorder="1" applyAlignment="1">
      <alignment horizontal="center"/>
    </xf>
    <xf numFmtId="167" fontId="90" fillId="0" borderId="155" xfId="1" applyNumberFormat="1" applyFont="1" applyBorder="1" applyAlignment="1">
      <alignment horizontal="center"/>
    </xf>
    <xf numFmtId="167" fontId="90" fillId="0" borderId="156" xfId="1" applyNumberFormat="1" applyFont="1" applyBorder="1" applyAlignment="1">
      <alignment horizontal="center"/>
    </xf>
    <xf numFmtId="0" fontId="0" fillId="0" borderId="130" xfId="0" applyBorder="1" applyAlignment="1">
      <alignment horizontal="center" wrapText="1"/>
    </xf>
    <xf numFmtId="0" fontId="0" fillId="0" borderId="133" xfId="0" applyBorder="1" applyAlignment="1">
      <alignment horizontal="center" wrapText="1"/>
    </xf>
    <xf numFmtId="0" fontId="0" fillId="0" borderId="135" xfId="0" applyBorder="1" applyAlignment="1">
      <alignment horizontal="center" wrapText="1"/>
    </xf>
    <xf numFmtId="167" fontId="90" fillId="0" borderId="127" xfId="1" applyNumberFormat="1" applyFont="1" applyBorder="1" applyAlignment="1">
      <alignment horizontal="center"/>
    </xf>
    <xf numFmtId="0" fontId="63" fillId="0" borderId="24" xfId="7" applyFont="1" applyBorder="1" applyAlignment="1">
      <alignment horizontal="left" vertical="center" wrapText="1"/>
    </xf>
    <xf numFmtId="0" fontId="63" fillId="0" borderId="26" xfId="7" applyFont="1" applyBorder="1" applyAlignment="1">
      <alignment horizontal="left" vertical="center" wrapText="1"/>
    </xf>
    <xf numFmtId="0" fontId="63" fillId="0" borderId="57" xfId="7" applyFont="1" applyBorder="1" applyAlignment="1">
      <alignment horizontal="center" vertical="center" wrapText="1"/>
    </xf>
    <xf numFmtId="0" fontId="63" fillId="0" borderId="26" xfId="7" applyFont="1" applyBorder="1" applyAlignment="1">
      <alignment horizontal="center" vertical="center" wrapText="1"/>
    </xf>
    <xf numFmtId="14" fontId="63" fillId="0" borderId="24" xfId="28" applyNumberFormat="1" applyFont="1" applyBorder="1" applyAlignment="1">
      <alignment horizontal="center" vertical="center" wrapText="1"/>
    </xf>
    <xf numFmtId="14" fontId="63" fillId="0" borderId="26" xfId="28" applyNumberFormat="1" applyFont="1" applyBorder="1" applyAlignment="1">
      <alignment horizontal="center" vertical="center" wrapText="1"/>
    </xf>
    <xf numFmtId="0" fontId="63" fillId="0" borderId="24" xfId="28" applyFont="1" applyBorder="1" applyAlignment="1">
      <alignment horizontal="center" vertical="center" wrapText="1"/>
    </xf>
    <xf numFmtId="0" fontId="44" fillId="0" borderId="26" xfId="28" applyBorder="1" applyAlignment="1">
      <alignment horizontal="center" vertical="center" wrapText="1"/>
    </xf>
    <xf numFmtId="167" fontId="61" fillId="0" borderId="24" xfId="1" applyNumberFormat="1" applyFont="1" applyFill="1" applyBorder="1" applyAlignment="1">
      <alignment horizontal="center" vertical="center" wrapText="1"/>
    </xf>
    <xf numFmtId="167" fontId="61" fillId="0" borderId="26" xfId="1" applyNumberFormat="1" applyFont="1" applyFill="1" applyBorder="1" applyAlignment="1">
      <alignment horizontal="center" vertical="center" wrapText="1"/>
    </xf>
    <xf numFmtId="0" fontId="63" fillId="0" borderId="24" xfId="7" applyFont="1" applyBorder="1" applyAlignment="1">
      <alignment horizontal="center" vertical="center" wrapText="1"/>
    </xf>
    <xf numFmtId="0" fontId="63" fillId="0" borderId="26" xfId="28" applyFont="1" applyBorder="1" applyAlignment="1">
      <alignment horizontal="center" vertical="center" wrapText="1"/>
    </xf>
    <xf numFmtId="0" fontId="63" fillId="0" borderId="24" xfId="28" applyFont="1" applyBorder="1" applyAlignment="1">
      <alignment horizontal="left" vertical="center" wrapText="1"/>
    </xf>
    <xf numFmtId="0" fontId="47" fillId="0" borderId="26" xfId="28" applyFont="1" applyBorder="1" applyAlignment="1">
      <alignment horizontal="left" vertical="center" wrapText="1"/>
    </xf>
    <xf numFmtId="0" fontId="47" fillId="0" borderId="26" xfId="7" applyFont="1" applyBorder="1" applyAlignment="1">
      <alignment horizontal="left" vertical="center" wrapText="1"/>
    </xf>
    <xf numFmtId="0" fontId="61" fillId="0" borderId="4" xfId="10" applyFont="1" applyBorder="1" applyAlignment="1">
      <alignment horizontal="center" vertical="center" wrapText="1"/>
    </xf>
    <xf numFmtId="0" fontId="61" fillId="0" borderId="14" xfId="10" applyFont="1" applyBorder="1" applyAlignment="1">
      <alignment horizontal="center" vertical="center" wrapText="1"/>
    </xf>
    <xf numFmtId="0" fontId="63" fillId="0" borderId="26" xfId="28" applyFont="1" applyBorder="1" applyAlignment="1">
      <alignment horizontal="left" vertical="center" wrapText="1"/>
    </xf>
    <xf numFmtId="0" fontId="63" fillId="0" borderId="57" xfId="28" applyFont="1" applyBorder="1" applyAlignment="1">
      <alignment horizontal="center" vertical="center" wrapText="1"/>
    </xf>
    <xf numFmtId="0" fontId="47" fillId="0" borderId="26" xfId="28" applyFont="1" applyBorder="1" applyAlignment="1">
      <alignment horizontal="center" vertical="center" wrapText="1"/>
    </xf>
    <xf numFmtId="14" fontId="63" fillId="0" borderId="68" xfId="28" applyNumberFormat="1" applyFont="1" applyBorder="1" applyAlignment="1">
      <alignment horizontal="center" vertical="center" wrapText="1"/>
    </xf>
    <xf numFmtId="0" fontId="38" fillId="0" borderId="74" xfId="28" applyFont="1" applyBorder="1" applyAlignment="1">
      <alignment horizontal="center" vertical="center" wrapText="1"/>
    </xf>
    <xf numFmtId="0" fontId="44" fillId="0" borderId="26" xfId="28" applyBorder="1" applyAlignment="1">
      <alignment horizontal="left" vertical="center" wrapText="1"/>
    </xf>
    <xf numFmtId="0" fontId="63" fillId="0" borderId="57" xfId="28" applyFont="1" applyBorder="1" applyAlignment="1">
      <alignment horizontal="left" vertical="center" wrapText="1"/>
    </xf>
    <xf numFmtId="0" fontId="38" fillId="0" borderId="26" xfId="28" applyFont="1" applyBorder="1" applyAlignment="1">
      <alignment horizontal="left" vertical="center" wrapText="1"/>
    </xf>
    <xf numFmtId="0" fontId="63" fillId="0" borderId="34" xfId="7" applyFont="1" applyBorder="1" applyAlignment="1">
      <alignment horizontal="left" vertical="center" wrapText="1"/>
    </xf>
    <xf numFmtId="0" fontId="63" fillId="0" borderId="36" xfId="7" applyFont="1" applyBorder="1" applyAlignment="1">
      <alignment horizontal="left" vertical="center" wrapText="1"/>
    </xf>
    <xf numFmtId="0" fontId="63" fillId="0" borderId="69" xfId="28" applyFont="1" applyBorder="1" applyAlignment="1">
      <alignment horizontal="center" vertical="center" wrapText="1"/>
    </xf>
    <xf numFmtId="14" fontId="63" fillId="0" borderId="76" xfId="28" applyNumberFormat="1" applyFont="1" applyBorder="1" applyAlignment="1">
      <alignment horizontal="center" vertical="center" wrapText="1"/>
    </xf>
    <xf numFmtId="14" fontId="63" fillId="0" borderId="69" xfId="28" applyNumberFormat="1" applyFont="1" applyBorder="1" applyAlignment="1">
      <alignment horizontal="center" vertical="center" wrapText="1"/>
    </xf>
    <xf numFmtId="0" fontId="63" fillId="0" borderId="74" xfId="28" applyFont="1" applyBorder="1" applyAlignment="1">
      <alignment horizontal="center" vertical="center" wrapText="1"/>
    </xf>
    <xf numFmtId="0" fontId="47" fillId="0" borderId="26" xfId="7" applyFont="1" applyBorder="1" applyAlignment="1">
      <alignment horizontal="center" vertical="center" wrapText="1"/>
    </xf>
    <xf numFmtId="167" fontId="104" fillId="0" borderId="26" xfId="1" applyNumberFormat="1" applyFont="1" applyBorder="1" applyAlignment="1">
      <alignment horizontal="center" vertical="center" wrapText="1"/>
    </xf>
    <xf numFmtId="167" fontId="61" fillId="0" borderId="24" xfId="1" applyNumberFormat="1" applyFont="1" applyBorder="1" applyAlignment="1">
      <alignment horizontal="center" vertical="center" wrapText="1"/>
    </xf>
    <xf numFmtId="0" fontId="63" fillId="0" borderId="25" xfId="7" applyFont="1" applyBorder="1" applyAlignment="1">
      <alignment horizontal="center" vertical="center" wrapText="1"/>
    </xf>
    <xf numFmtId="0" fontId="63" fillId="0" borderId="27" xfId="7" applyFont="1" applyBorder="1" applyAlignment="1">
      <alignment horizontal="center" vertical="center" wrapText="1"/>
    </xf>
    <xf numFmtId="167" fontId="51" fillId="0" borderId="26" xfId="1" applyNumberFormat="1" applyFont="1" applyBorder="1" applyAlignment="1">
      <alignment horizontal="center" vertical="center" wrapText="1"/>
    </xf>
    <xf numFmtId="167" fontId="61" fillId="0" borderId="26" xfId="1" applyNumberFormat="1" applyFont="1" applyBorder="1" applyAlignment="1">
      <alignment horizontal="center" vertical="center" wrapText="1"/>
    </xf>
    <xf numFmtId="0" fontId="257" fillId="0" borderId="0" xfId="206">
      <alignment horizontal="right"/>
    </xf>
    <xf numFmtId="0" fontId="0" fillId="0" borderId="0" xfId="214" applyFont="1">
      <alignment horizontal="left" vertical="top" wrapText="1"/>
    </xf>
    <xf numFmtId="0" fontId="147" fillId="0" borderId="0" xfId="214">
      <alignment horizontal="left" vertical="top" wrapText="1"/>
    </xf>
    <xf numFmtId="0" fontId="147" fillId="0" borderId="0" xfId="207">
      <alignment horizontal="left" wrapText="1"/>
    </xf>
    <xf numFmtId="0" fontId="182" fillId="0" borderId="0" xfId="216">
      <alignment horizontal="center" wrapText="1"/>
    </xf>
    <xf numFmtId="0" fontId="255" fillId="0" borderId="124" xfId="0" applyFont="1" applyBorder="1" applyAlignment="1">
      <alignment vertical="center" wrapText="1"/>
    </xf>
    <xf numFmtId="0" fontId="236" fillId="0" borderId="45" xfId="0" applyFont="1" applyBorder="1" applyAlignment="1">
      <alignment horizontal="right" vertical="center" wrapText="1"/>
    </xf>
    <xf numFmtId="0" fontId="236" fillId="0" borderId="49" xfId="0" applyFont="1" applyBorder="1" applyAlignment="1">
      <alignment horizontal="right" vertical="center" wrapText="1"/>
    </xf>
    <xf numFmtId="0" fontId="123" fillId="0" borderId="25" xfId="0" applyFont="1" applyBorder="1" applyAlignment="1">
      <alignment horizontal="center" vertical="center" wrapText="1"/>
    </xf>
    <xf numFmtId="0" fontId="123" fillId="0" borderId="40" xfId="0" applyFont="1" applyBorder="1" applyAlignment="1">
      <alignment horizontal="center" vertical="center" wrapText="1"/>
    </xf>
    <xf numFmtId="0" fontId="123" fillId="0" borderId="44" xfId="0" applyFont="1" applyBorder="1" applyAlignment="1">
      <alignment horizontal="center" vertical="center" wrapText="1"/>
    </xf>
    <xf numFmtId="0" fontId="123" fillId="0" borderId="25" xfId="0" applyFont="1" applyBorder="1" applyAlignment="1">
      <alignment horizontal="left" vertical="center" wrapText="1" indent="1"/>
    </xf>
    <xf numFmtId="0" fontId="123" fillId="0" borderId="40" xfId="0" applyFont="1" applyBorder="1" applyAlignment="1">
      <alignment horizontal="left" vertical="center" wrapText="1" indent="1"/>
    </xf>
    <xf numFmtId="0" fontId="229" fillId="64" borderId="108" xfId="0" applyFont="1" applyFill="1" applyBorder="1" applyAlignment="1">
      <alignment vertical="center" wrapText="1"/>
    </xf>
    <xf numFmtId="0" fontId="229" fillId="64" borderId="109" xfId="0" applyFont="1" applyFill="1" applyBorder="1" applyAlignment="1">
      <alignment vertical="center" wrapText="1"/>
    </xf>
    <xf numFmtId="0" fontId="229" fillId="64" borderId="0" xfId="0" applyFont="1" applyFill="1" applyAlignment="1">
      <alignment vertical="center" wrapText="1"/>
    </xf>
    <xf numFmtId="0" fontId="229" fillId="64" borderId="110" xfId="0" applyFont="1" applyFill="1" applyBorder="1" applyAlignment="1">
      <alignment vertical="center" wrapText="1"/>
    </xf>
    <xf numFmtId="0" fontId="123" fillId="0" borderId="45" xfId="0" applyFont="1" applyBorder="1" applyAlignment="1">
      <alignment horizontal="right" vertical="center" wrapText="1"/>
    </xf>
    <xf numFmtId="0" fontId="123" fillId="0" borderId="49" xfId="0" applyFont="1" applyBorder="1" applyAlignment="1">
      <alignment horizontal="right" vertical="center" wrapText="1"/>
    </xf>
    <xf numFmtId="0" fontId="236" fillId="0" borderId="0" xfId="0" applyFont="1" applyAlignment="1">
      <alignment horizontal="right" vertical="center" wrapText="1"/>
    </xf>
    <xf numFmtId="0" fontId="236" fillId="0" borderId="44" xfId="0" applyFont="1" applyBorder="1" applyAlignment="1">
      <alignment horizontal="right" vertical="center" wrapText="1"/>
    </xf>
    <xf numFmtId="0" fontId="222" fillId="0" borderId="30" xfId="0" applyFont="1" applyBorder="1" applyAlignment="1">
      <alignment vertical="center" wrapText="1"/>
    </xf>
    <xf numFmtId="0" fontId="222" fillId="0" borderId="17" xfId="0" applyFont="1" applyBorder="1" applyAlignment="1">
      <alignment vertical="center" wrapText="1"/>
    </xf>
    <xf numFmtId="0" fontId="225" fillId="5" borderId="30" xfId="199" applyFont="1" applyFill="1" applyBorder="1" applyAlignment="1">
      <alignment horizontal="center"/>
    </xf>
    <xf numFmtId="0" fontId="123" fillId="63" borderId="45" xfId="0" applyFont="1" applyFill="1" applyBorder="1" applyAlignment="1">
      <alignment horizontal="left" vertical="center" wrapText="1" indent="13"/>
    </xf>
    <xf numFmtId="0" fontId="123" fillId="63" borderId="49" xfId="0" applyFont="1" applyFill="1" applyBorder="1" applyAlignment="1">
      <alignment horizontal="left" vertical="center" wrapText="1" indent="13"/>
    </xf>
    <xf numFmtId="0" fontId="123" fillId="63" borderId="0" xfId="0" applyFont="1" applyFill="1" applyAlignment="1">
      <alignment horizontal="left" vertical="center" wrapText="1" indent="13"/>
    </xf>
    <xf numFmtId="0" fontId="123" fillId="63" borderId="44" xfId="0" applyFont="1" applyFill="1" applyBorder="1" applyAlignment="1">
      <alignment horizontal="left" vertical="center" wrapText="1" indent="13"/>
    </xf>
    <xf numFmtId="0" fontId="220" fillId="0" borderId="45" xfId="0" applyFont="1" applyBorder="1" applyAlignment="1">
      <alignment horizontal="right" vertical="center" wrapText="1"/>
    </xf>
    <xf numFmtId="0" fontId="220" fillId="0" borderId="49" xfId="0" applyFont="1" applyBorder="1" applyAlignment="1">
      <alignment horizontal="right" vertical="center" wrapText="1"/>
    </xf>
    <xf numFmtId="0" fontId="220" fillId="0" borderId="25" xfId="0" applyFont="1" applyBorder="1" applyAlignment="1">
      <alignment horizontal="center" vertical="center" wrapText="1"/>
    </xf>
    <xf numFmtId="0" fontId="220" fillId="0" borderId="40" xfId="0" applyFont="1" applyBorder="1" applyAlignment="1">
      <alignment horizontal="center" vertical="center" wrapText="1"/>
    </xf>
    <xf numFmtId="0" fontId="223" fillId="0" borderId="30" xfId="0" applyFont="1" applyBorder="1" applyAlignment="1">
      <alignment vertical="center" wrapText="1"/>
    </xf>
    <xf numFmtId="0" fontId="223" fillId="0" borderId="17" xfId="0" applyFont="1" applyBorder="1" applyAlignment="1">
      <alignment vertical="center" wrapText="1"/>
    </xf>
    <xf numFmtId="0" fontId="220" fillId="0" borderId="40" xfId="0" applyFont="1" applyBorder="1" applyAlignment="1">
      <alignment vertical="center" wrapText="1"/>
    </xf>
    <xf numFmtId="0" fontId="220" fillId="0" borderId="27" xfId="0" applyFont="1" applyBorder="1" applyAlignment="1">
      <alignment vertical="center" wrapText="1"/>
    </xf>
    <xf numFmtId="0" fontId="216" fillId="61" borderId="25" xfId="0" applyFont="1" applyFill="1" applyBorder="1" applyAlignment="1">
      <alignment vertical="center" wrapText="1"/>
    </xf>
    <xf numFmtId="0" fontId="216" fillId="61" borderId="40" xfId="0" applyFont="1" applyFill="1" applyBorder="1" applyAlignment="1">
      <alignment vertical="center" wrapText="1"/>
    </xf>
    <xf numFmtId="0" fontId="68" fillId="17" borderId="13" xfId="199" applyFont="1" applyFill="1" applyBorder="1" applyAlignment="1">
      <alignment horizontal="center" vertical="center" wrapText="1"/>
    </xf>
    <xf numFmtId="0" fontId="68" fillId="17" borderId="23" xfId="199" applyFont="1" applyFill="1" applyBorder="1" applyAlignment="1">
      <alignment horizontal="center" vertical="center" wrapText="1"/>
    </xf>
    <xf numFmtId="0" fontId="68" fillId="17" borderId="5" xfId="199" applyFont="1" applyFill="1" applyBorder="1" applyAlignment="1">
      <alignment horizontal="center" vertical="center" wrapText="1"/>
    </xf>
    <xf numFmtId="0" fontId="86" fillId="5" borderId="13" xfId="167" applyFont="1" applyFill="1" applyBorder="1" applyAlignment="1">
      <alignment horizontal="center" vertical="center" wrapText="1"/>
    </xf>
    <xf numFmtId="0" fontId="86" fillId="5" borderId="23" xfId="167" applyFont="1" applyFill="1" applyBorder="1" applyAlignment="1">
      <alignment horizontal="center" vertical="center" wrapText="1"/>
    </xf>
    <xf numFmtId="0" fontId="86" fillId="5" borderId="5" xfId="167" applyFont="1" applyFill="1" applyBorder="1" applyAlignment="1">
      <alignment horizontal="center" vertical="center" wrapText="1"/>
    </xf>
    <xf numFmtId="0" fontId="86" fillId="5" borderId="99" xfId="200" applyFont="1" applyFill="1" applyBorder="1" applyAlignment="1">
      <alignment horizontal="left" wrapText="1"/>
    </xf>
    <xf numFmtId="0" fontId="86" fillId="5" borderId="92" xfId="200" applyFont="1" applyFill="1" applyBorder="1" applyAlignment="1">
      <alignment horizontal="left" wrapText="1"/>
    </xf>
    <xf numFmtId="0" fontId="86" fillId="5" borderId="91" xfId="200" applyFont="1" applyFill="1" applyBorder="1" applyAlignment="1">
      <alignment horizontal="left" wrapText="1"/>
    </xf>
    <xf numFmtId="0" fontId="175" fillId="5" borderId="13" xfId="167" applyFont="1" applyFill="1" applyBorder="1" applyAlignment="1">
      <alignment horizontal="center" vertical="center" wrapText="1"/>
    </xf>
    <xf numFmtId="0" fontId="175" fillId="5" borderId="23" xfId="167" applyFont="1" applyFill="1" applyBorder="1" applyAlignment="1">
      <alignment horizontal="center" vertical="center" wrapText="1"/>
    </xf>
    <xf numFmtId="0" fontId="175" fillId="5" borderId="5" xfId="167" applyFont="1" applyFill="1" applyBorder="1" applyAlignment="1">
      <alignment horizontal="center" vertical="center" wrapText="1"/>
    </xf>
    <xf numFmtId="0" fontId="148" fillId="5" borderId="95" xfId="199" applyFont="1" applyFill="1" applyBorder="1" applyAlignment="1">
      <alignment horizontal="center"/>
    </xf>
    <xf numFmtId="0" fontId="148" fillId="5" borderId="83" xfId="199" applyFont="1" applyFill="1" applyBorder="1" applyAlignment="1">
      <alignment horizontal="center"/>
    </xf>
    <xf numFmtId="0" fontId="86" fillId="5" borderId="13" xfId="167" applyFont="1" applyFill="1" applyBorder="1" applyAlignment="1">
      <alignment horizontal="center" vertical="center"/>
    </xf>
    <xf numFmtId="0" fontId="86" fillId="5" borderId="23" xfId="167" applyFont="1" applyFill="1" applyBorder="1" applyAlignment="1">
      <alignment horizontal="center" vertical="center"/>
    </xf>
    <xf numFmtId="0" fontId="86" fillId="5" borderId="5" xfId="167" applyFont="1" applyFill="1" applyBorder="1" applyAlignment="1">
      <alignment horizontal="center" vertical="center"/>
    </xf>
    <xf numFmtId="0" fontId="143" fillId="5" borderId="13" xfId="0" applyFont="1" applyFill="1" applyBorder="1" applyAlignment="1">
      <alignment horizontal="center"/>
    </xf>
    <xf numFmtId="0" fontId="143" fillId="5" borderId="23" xfId="0" applyFont="1" applyFill="1" applyBorder="1" applyAlignment="1">
      <alignment horizontal="center"/>
    </xf>
    <xf numFmtId="0" fontId="143" fillId="5" borderId="5" xfId="0" applyFont="1" applyFill="1" applyBorder="1" applyAlignment="1">
      <alignment horizontal="center"/>
    </xf>
    <xf numFmtId="0" fontId="211" fillId="5" borderId="30" xfId="199" applyFont="1" applyFill="1" applyBorder="1" applyAlignment="1">
      <alignment horizontal="center"/>
    </xf>
    <xf numFmtId="0" fontId="215" fillId="5" borderId="30" xfId="199" applyFont="1" applyFill="1" applyBorder="1" applyAlignment="1">
      <alignment horizontal="center"/>
    </xf>
    <xf numFmtId="0" fontId="267" fillId="0" borderId="142" xfId="0" applyFont="1" applyBorder="1" applyAlignment="1">
      <alignment horizontal="center" vertical="center" wrapText="1"/>
    </xf>
    <xf numFmtId="0" fontId="267" fillId="0" borderId="143" xfId="0" applyFont="1" applyBorder="1" applyAlignment="1">
      <alignment horizontal="center" vertical="center" wrapText="1"/>
    </xf>
    <xf numFmtId="0" fontId="267" fillId="0" borderId="144" xfId="0" applyFont="1" applyBorder="1" applyAlignment="1">
      <alignment horizontal="center" vertical="center" wrapText="1"/>
    </xf>
    <xf numFmtId="0" fontId="59" fillId="10" borderId="97" xfId="0" applyFont="1" applyFill="1" applyBorder="1" applyAlignment="1">
      <alignment horizontal="center" vertical="center" wrapText="1"/>
    </xf>
    <xf numFmtId="0" fontId="59" fillId="10" borderId="117" xfId="0" applyFont="1" applyFill="1" applyBorder="1" applyAlignment="1">
      <alignment horizontal="center" vertical="center" wrapText="1"/>
    </xf>
    <xf numFmtId="0" fontId="37" fillId="0" borderId="84" xfId="0" applyFont="1" applyBorder="1" applyAlignment="1">
      <alignment horizontal="center" vertical="center" wrapText="1"/>
    </xf>
    <xf numFmtId="0" fontId="37" fillId="0" borderId="117" xfId="0" applyFont="1" applyBorder="1" applyAlignment="1">
      <alignment horizontal="center" vertical="center" wrapText="1"/>
    </xf>
    <xf numFmtId="0" fontId="37" fillId="0" borderId="97" xfId="0" applyFont="1" applyBorder="1" applyAlignment="1">
      <alignment horizontal="center" vertical="center" wrapText="1"/>
    </xf>
    <xf numFmtId="0" fontId="0" fillId="0" borderId="85" xfId="0" applyBorder="1" applyAlignment="1">
      <alignment horizontal="center" vertical="center"/>
    </xf>
    <xf numFmtId="0" fontId="0" fillId="0" borderId="114" xfId="0" applyBorder="1" applyAlignment="1">
      <alignment horizontal="center" vertical="center" wrapText="1"/>
    </xf>
    <xf numFmtId="2" fontId="37" fillId="0" borderId="85" xfId="0" applyNumberFormat="1" applyFont="1" applyBorder="1" applyAlignment="1">
      <alignment horizontal="center" vertical="center"/>
    </xf>
    <xf numFmtId="0" fontId="92" fillId="0" borderId="118" xfId="0" applyFont="1" applyBorder="1" applyAlignment="1">
      <alignment horizontal="center"/>
    </xf>
    <xf numFmtId="0" fontId="92" fillId="0" borderId="115" xfId="0" applyFont="1" applyBorder="1" applyAlignment="1">
      <alignment horizontal="center"/>
    </xf>
    <xf numFmtId="0" fontId="252" fillId="0" borderId="116" xfId="0" applyFont="1" applyBorder="1" applyAlignment="1">
      <alignment horizontal="center"/>
    </xf>
    <xf numFmtId="0" fontId="0" fillId="0" borderId="0" xfId="0" applyAlignment="1">
      <alignment wrapText="1"/>
    </xf>
    <xf numFmtId="0" fontId="0" fillId="0" borderId="0" xfId="0"/>
    <xf numFmtId="0" fontId="252" fillId="0" borderId="115" xfId="0" applyFont="1" applyBorder="1" applyAlignment="1">
      <alignment horizontal="center"/>
    </xf>
    <xf numFmtId="0" fontId="0" fillId="0" borderId="120" xfId="0" applyBorder="1" applyAlignment="1">
      <alignment horizontal="center" vertical="center"/>
    </xf>
    <xf numFmtId="0" fontId="0" fillId="0" borderId="117" xfId="0" applyBorder="1" applyAlignment="1">
      <alignment horizontal="center" vertical="center"/>
    </xf>
    <xf numFmtId="0" fontId="59" fillId="0" borderId="120" xfId="0" applyFont="1" applyBorder="1" applyAlignment="1">
      <alignment horizontal="center" vertical="center" wrapText="1"/>
    </xf>
    <xf numFmtId="0" fontId="59" fillId="0" borderId="117" xfId="0" applyFont="1" applyBorder="1" applyAlignment="1">
      <alignment horizontal="center" vertical="center" wrapText="1"/>
    </xf>
  </cellXfs>
  <cellStyles count="219">
    <cellStyle name="20% - Accent1" xfId="118" builtinId="30" customBuiltin="1"/>
    <cellStyle name="20% - Accent1 2" xfId="178" xr:uid="{363495CB-4EFD-4075-8AF2-8C15E33F265E}"/>
    <cellStyle name="20% - Accent2" xfId="122" builtinId="34" customBuiltin="1"/>
    <cellStyle name="20% - Accent2 2" xfId="181" xr:uid="{A18B77CC-0EE2-4068-8D7D-EF36B82D4569}"/>
    <cellStyle name="20% - Accent3" xfId="126" builtinId="38" customBuiltin="1"/>
    <cellStyle name="20% - Accent3 2" xfId="184" xr:uid="{828B7FC4-D874-45AB-90C4-80E102CDA5BC}"/>
    <cellStyle name="20% - Accent4" xfId="130" builtinId="42" customBuiltin="1"/>
    <cellStyle name="20% - Accent4 2" xfId="187" xr:uid="{D6C29F7D-F1D1-4B50-B51D-8C757C4F426E}"/>
    <cellStyle name="20% - Accent5" xfId="134" builtinId="46" customBuiltin="1"/>
    <cellStyle name="20% - Accent5 2" xfId="190" xr:uid="{FCD4D055-3930-49A6-8889-90B080C6E772}"/>
    <cellStyle name="20% - Accent6" xfId="138" builtinId="50" customBuiltin="1"/>
    <cellStyle name="20% - Accent6 2" xfId="193" xr:uid="{27DC87F4-78AB-4578-80CF-0B1BFA91BF76}"/>
    <cellStyle name="20% no 1. izcēluma 2" xfId="148" xr:uid="{00000000-0005-0000-0000-000001000000}"/>
    <cellStyle name="20% no 2. izcēluma 2" xfId="150" xr:uid="{00000000-0005-0000-0000-000003000000}"/>
    <cellStyle name="20% no 3. izcēluma 2" xfId="152" xr:uid="{00000000-0005-0000-0000-000005000000}"/>
    <cellStyle name="20% no 4. izcēluma 2" xfId="154" xr:uid="{00000000-0005-0000-0000-000007000000}"/>
    <cellStyle name="20% no 5. izcēluma 2" xfId="156" xr:uid="{00000000-0005-0000-0000-000009000000}"/>
    <cellStyle name="20% no 6. izcēluma 2" xfId="158" xr:uid="{00000000-0005-0000-0000-00000B000000}"/>
    <cellStyle name="40% - Accent1" xfId="119" builtinId="31" customBuiltin="1"/>
    <cellStyle name="40% - Accent1 2" xfId="179" xr:uid="{52F15773-EEB9-4FAB-B1D0-72EF0155F97D}"/>
    <cellStyle name="40% - Accent2" xfId="123" builtinId="35" customBuiltin="1"/>
    <cellStyle name="40% - Accent2 2" xfId="182" xr:uid="{3B8FAB79-3B2B-45F3-A5EB-B230A3278B50}"/>
    <cellStyle name="40% - Accent3" xfId="127" builtinId="39" customBuiltin="1"/>
    <cellStyle name="40% - Accent3 2" xfId="185" xr:uid="{2B662775-B899-4B35-8D7E-FCE4CD58456D}"/>
    <cellStyle name="40% - Accent4" xfId="131" builtinId="43" customBuiltin="1"/>
    <cellStyle name="40% - Accent4 2" xfId="188" xr:uid="{64C688F0-7CEF-4FE8-9E4F-59C5F7B42BEF}"/>
    <cellStyle name="40% - Accent5" xfId="135" builtinId="47" customBuiltin="1"/>
    <cellStyle name="40% - Accent5 2" xfId="191" xr:uid="{AF63A63F-2393-4DDD-B11E-1E8547F0F85D}"/>
    <cellStyle name="40% - Accent6" xfId="139" builtinId="51" customBuiltin="1"/>
    <cellStyle name="40% - Accent6 2" xfId="194" xr:uid="{3A5C1458-F927-4ED5-9DF6-2B52D0C9B7BA}"/>
    <cellStyle name="40% no 1. izcēluma 2" xfId="149" xr:uid="{00000000-0005-0000-0000-00000D000000}"/>
    <cellStyle name="40% no 2. izcēluma 2" xfId="151" xr:uid="{00000000-0005-0000-0000-00000F000000}"/>
    <cellStyle name="40% no 3. izcēluma 2" xfId="153" xr:uid="{00000000-0005-0000-0000-000011000000}"/>
    <cellStyle name="40% no 4. izcēluma 2" xfId="155" xr:uid="{00000000-0005-0000-0000-000013000000}"/>
    <cellStyle name="40% no 5. izcēluma 2" xfId="157" xr:uid="{00000000-0005-0000-0000-000015000000}"/>
    <cellStyle name="40% no 6. izcēluma 2" xfId="159" xr:uid="{00000000-0005-0000-0000-000017000000}"/>
    <cellStyle name="60% - Accent1" xfId="120" builtinId="32" customBuiltin="1"/>
    <cellStyle name="60% - Accent1 2" xfId="180" xr:uid="{2FF805B4-7736-476D-9441-E38DA002F17C}"/>
    <cellStyle name="60% - Accent2" xfId="124" builtinId="36" customBuiltin="1"/>
    <cellStyle name="60% - Accent2 2" xfId="183" xr:uid="{C36BDC48-DDDB-44C7-9E4B-3FEFC6C7EE83}"/>
    <cellStyle name="60% - Accent3" xfId="128" builtinId="40" customBuiltin="1"/>
    <cellStyle name="60% - Accent3 2" xfId="186" xr:uid="{129DABD0-E58B-4402-90C0-1CDA297E49E8}"/>
    <cellStyle name="60% - Accent4" xfId="132" builtinId="44" customBuiltin="1"/>
    <cellStyle name="60% - Accent4 2" xfId="189" xr:uid="{4DF1C865-0303-4E8E-8163-9614765FC054}"/>
    <cellStyle name="60% - Accent5" xfId="136" builtinId="48" customBuiltin="1"/>
    <cellStyle name="60% - Accent5 2" xfId="192" xr:uid="{49CE04F7-7C67-4035-B478-D5A0BC67A4F9}"/>
    <cellStyle name="60% - Accent6" xfId="140" builtinId="52" customBuiltin="1"/>
    <cellStyle name="60% - Accent6 2" xfId="195" xr:uid="{E49FFC8E-C988-475A-9C83-E9CFCB701DBF}"/>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8" xr:uid="{A6C95BC1-19F2-4D14-8F05-F1BCAFFD66B6}"/>
    <cellStyle name="Comma 2 2" xfId="25" xr:uid="{00000000-0005-0000-0000-000020000000}"/>
    <cellStyle name="Comma 3" xfId="30" xr:uid="{00000000-0005-0000-0000-000021000000}"/>
    <cellStyle name="Comma 3 2" xfId="98" xr:uid="{00000000-0005-0000-0000-000022000000}"/>
    <cellStyle name="Comma 3 3" xfId="12" xr:uid="{00000000-0005-0000-0000-000023000000}"/>
    <cellStyle name="Comma 4 2" xfId="11" xr:uid="{00000000-0005-0000-0000-000024000000}"/>
    <cellStyle name="Comma 5" xfId="8" xr:uid="{00000000-0005-0000-0000-000025000000}"/>
    <cellStyle name="Comma 6 2" xfId="15" xr:uid="{00000000-0005-0000-0000-000026000000}"/>
    <cellStyle name="Currency 2" xfId="215" xr:uid="{A0439C78-5394-45FD-B783-E1E5BD692DBF}"/>
    <cellStyle name="Datums" xfId="210"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8" xr:uid="{A0498B9A-D992-4E78-BF25-546CAE2BE786}"/>
    <cellStyle name="Good" xfId="106" builtinId="26" customBuiltin="1"/>
    <cellStyle name="Heading 1" xfId="102" builtinId="16" customBuiltin="1"/>
    <cellStyle name="Heading 1 2" xfId="205" xr:uid="{E98B7448-A897-4EA1-9906-18A8FE0D192D}"/>
    <cellStyle name="Heading 2" xfId="103" builtinId="17" customBuiltin="1"/>
    <cellStyle name="Heading 2 2" xfId="209" xr:uid="{FF1DA6CD-3B3A-4E9F-90B0-39C524CC5C89}"/>
    <cellStyle name="Heading 3" xfId="104" builtinId="18" customBuiltin="1"/>
    <cellStyle name="Heading 3 2" xfId="212" xr:uid="{EC5204E5-D883-4752-94D0-7259464FE54C}"/>
    <cellStyle name="Heading 4" xfId="105" builtinId="19" customBuiltin="1"/>
    <cellStyle name="Heading 4 2" xfId="213" xr:uid="{5BE628C0-8046-4E7E-9D76-388CC31BADE7}"/>
    <cellStyle name="Hipersaite 2" xfId="41" xr:uid="{00000000-0005-0000-0000-00002C000000}"/>
    <cellStyle name="Hipersaite 3" xfId="91" xr:uid="{00000000-0005-0000-0000-00002D000000}"/>
    <cellStyle name="Hipersaite 4" xfId="198"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2" xr:uid="{B05EB464-085D-4EEA-BAF8-CC5AD2B4A2D0}"/>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4" xr:uid="{01923C97-C140-46F8-BB35-E6786FEC1363}"/>
    <cellStyle name="Labs 2" xfId="27" xr:uid="{00000000-0005-0000-0000-000056000000}"/>
    <cellStyle name="Linked Cell" xfId="112" builtinId="24" customBuiltin="1"/>
    <cellStyle name="Neutral" xfId="108" builtinId="28" customBuiltin="1"/>
    <cellStyle name="Neutral 2" xfId="176" xr:uid="{3B14C34B-77DA-4AF7-A04A-380F8ABDA04A}"/>
    <cellStyle name="Normal" xfId="0" builtinId="0"/>
    <cellStyle name="Normal 10" xfId="18" xr:uid="{00000000-0005-0000-0000-000058000000}"/>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200" xr:uid="{7941E8FE-1001-4537-B72B-74FF7E985732}"/>
    <cellStyle name="Normal 4 3 3" xfId="204" xr:uid="{1EEB7F85-9DF1-4FF9-BB7F-7A0A3BDFEC8F}"/>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7" xr:uid="{B39A0216-0C63-4619-93B3-621879552DDB}"/>
    <cellStyle name="Normal 8" xfId="207" xr:uid="{06CF81E4-4CEE-4FB3-98A1-BFD93CCD82A7}"/>
    <cellStyle name="Normal_Sheet1" xfId="197" xr:uid="{61CCF177-D2F4-45C7-A056-0991A2629B20}"/>
    <cellStyle name="Note 2" xfId="177" xr:uid="{AA97006D-4E69-4CC6-8481-354EBBA19CC9}"/>
    <cellStyle name="Note 3" xfId="216" xr:uid="{C0D84A79-D75B-4349-B990-6E2C649B60A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3" xfId="86" xr:uid="{00000000-0005-0000-0000-000085000000}"/>
    <cellStyle name="Parasts 2 4" xfId="170" xr:uid="{00000000-0005-0000-0000-000086000000}"/>
    <cellStyle name="Parasts 20" xfId="166" xr:uid="{00000000-0005-0000-0000-000087000000}"/>
    <cellStyle name="Parasts 20 2" xfId="199" xr:uid="{75C7A2B3-6BCE-4112-A10A-55E82BAF20CE}"/>
    <cellStyle name="Parasts 20 3" xfId="203" xr:uid="{9577B0DB-EFB8-4226-AE75-FBD61AB104D3}"/>
    <cellStyle name="Parasts 21" xfId="172" xr:uid="{00000000-0005-0000-0000-000088000000}"/>
    <cellStyle name="Parasts 22" xfId="196" xr:uid="{838BED57-F8F7-4C64-A2D0-8B3E18F8B431}"/>
    <cellStyle name="Parasts 23" xfId="201" xr:uid="{A9EB4556-2728-4537-8824-E4B437D8C3EC}"/>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Style 1" xfId="169" xr:uid="{00000000-0005-0000-0000-0000AA000000}"/>
    <cellStyle name="Tālruņa numurs" xfId="211" xr:uid="{B8C2BBA4-491B-4C8E-967C-8909EA0A9A6D}"/>
    <cellStyle name="Title" xfId="101" builtinId="15" customBuiltin="1"/>
    <cellStyle name="Title 2" xfId="206" xr:uid="{F7EDA3B8-B2E2-476D-9C0C-F20AEF5341CE}"/>
    <cellStyle name="Total" xfId="116" builtinId="25" customBuiltin="1"/>
    <cellStyle name="Valūta 2" xfId="21" xr:uid="{00000000-0005-0000-0000-0000AC000000}"/>
    <cellStyle name="Valūta 3" xfId="79" xr:uid="{00000000-0005-0000-0000-0000AD000000}"/>
    <cellStyle name="Virsraksts 2 2" xfId="85" xr:uid="{00000000-0005-0000-0000-0000B0000000}"/>
    <cellStyle name="Warning Text" xfId="114" builtinId="11" customBuiltin="1"/>
  </cellStyles>
  <dxfs count="8">
    <dxf>
      <font>
        <b val="0"/>
        <i val="0"/>
        <strike val="0"/>
        <condense val="0"/>
        <extend val="0"/>
        <outline val="0"/>
        <shadow val="0"/>
        <u val="none"/>
        <vertAlign val="baseline"/>
        <sz val="11"/>
        <color auto="1"/>
        <name val="Calibri"/>
        <scheme val="minor"/>
      </font>
      <numFmt numFmtId="175" formatCode="_-* #,##0\ [$EUR]_-;\-* #,##0\ [$EUR]_-;_-* &quot;-&quot;\ [$EUR]_-;_-@_-"/>
      <alignment horizontal="left" vertical="bottom" textRotation="0" wrapText="1" indent="0" justifyLastLine="0" shrinkToFit="0" readingOrder="0"/>
    </dxf>
    <dxf>
      <font>
        <b/>
        <i val="0"/>
        <strike val="0"/>
        <condense val="0"/>
        <extend val="0"/>
        <outline val="0"/>
        <shadow val="0"/>
        <u val="none"/>
        <vertAlign val="baseline"/>
        <sz val="11"/>
        <color auto="1"/>
        <name val="Calibri"/>
        <scheme val="minor"/>
      </font>
      <alignment horizontal="right" vertical="bottom" textRotation="0" wrapText="1" 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7"/>
      <tableStyleElement type="headerRow" dxfId="6"/>
      <tableStyleElement type="totalRow" dxfId="5"/>
      <tableStyleElement type="lastColumn" dxfId="4"/>
      <tableStyleElement type="lastTotalCell" dxfId="3"/>
    </tableStyle>
  </tableStyles>
  <colors>
    <mruColors>
      <color rgb="FF8E267F"/>
      <color rgb="FFFFCC66"/>
      <color rgb="FFFFFF99"/>
      <color rgb="FF6CA644"/>
      <color rgb="FF0FA8C1"/>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5</xdr:col>
      <xdr:colOff>922020</xdr:colOff>
      <xdr:row>54</xdr:row>
      <xdr:rowOff>693420</xdr:rowOff>
    </xdr:to>
    <xdr:pic>
      <xdr:nvPicPr>
        <xdr:cNvPr id="2" name="Picture 3" descr="FLORBOLA BORTI ROSCO ACTIVE IFF (MELNI) INDOOR – precessportam.lv">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9280" y="16352520"/>
          <a:ext cx="92202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55</xdr:row>
      <xdr:rowOff>0</xdr:rowOff>
    </xdr:from>
    <xdr:to>
      <xdr:col>6</xdr:col>
      <xdr:colOff>22860</xdr:colOff>
      <xdr:row>55</xdr:row>
      <xdr:rowOff>1280160</xdr:rowOff>
    </xdr:to>
    <xdr:pic>
      <xdr:nvPicPr>
        <xdr:cNvPr id="3" name="Picture 4" descr="Gerflor Taraflex Sport M Evolution -official floorball floor mat |  Lujakunto.com">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79280" y="18844260"/>
          <a:ext cx="1249680" cy="105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ED635-AE29-40B6-914E-E2B04552DFC8}" name="Piedāvājums" displayName="Piedāvājums" ref="B13:D19" totalsRowCount="1">
  <tableColumns count="3">
    <tableColumn id="1" xr3:uid="{1BC7C16A-F20B-4ADF-ABB4-22CDE6EF6D97}" name="Apraksts" totalsRowDxfId="2"/>
    <tableColumn id="2" xr3:uid="{68FD536B-26F2-422F-BAAC-C00C9FCEAB8C}" name=" " totalsRowLabel="KOPSUMMA  " totalsRowDxfId="1"/>
    <tableColumn id="3" xr3:uid="{8C9866E0-0F0D-46E2-A93A-4D077831C4CB}" name="SUMMA" totalsRowFunction="sum" totalsRowDxfId="0"/>
  </tableColumns>
  <tableStyleInfo name="Cenas piedāvājums bez nodokļiem" showFirstColumn="0" showLastColumn="1" showRowStripes="0" showColumnStripes="0"/>
  <extLst>
    <ext xmlns:x14="http://schemas.microsoft.com/office/spreadsheetml/2009/9/main" uri="{504A1905-F514-4f6f-8877-14C23A59335A}">
      <x14:table altTextSummary="Ievadiet aprakstu un summu šajā tabulā. Apmaksājamā kopsumma tiek aprēķināta automātiski"/>
    </ext>
  </extLst>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vestnesis.lv/op/2021/234A.1"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linda@adazikultura.l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0C6A-716B-411A-8C9F-94739448F15E}">
  <sheetPr>
    <tabColor theme="9" tint="-0.249977111117893"/>
    <pageSetUpPr fitToPage="1"/>
  </sheetPr>
  <dimension ref="A1:GN537"/>
  <sheetViews>
    <sheetView topLeftCell="E1" zoomScale="110" zoomScaleNormal="110" workbookViewId="0">
      <selection activeCell="G1" sqref="G1:H1048576"/>
    </sheetView>
  </sheetViews>
  <sheetFormatPr defaultRowHeight="11.4" outlineLevelRow="1" outlineLevelCol="1" x14ac:dyDescent="0.2"/>
  <cols>
    <col min="1" max="2" width="9.125" style="810" hidden="1" customWidth="1" outlineLevel="1"/>
    <col min="3" max="4" width="9.125" style="923" hidden="1" customWidth="1" outlineLevel="1"/>
    <col min="5" max="5" width="10.125" customWidth="1" collapsed="1"/>
    <col min="6" max="6" width="42.625" customWidth="1"/>
    <col min="7" max="7" width="16.375" style="485" customWidth="1"/>
    <col min="8" max="8" width="17.25" style="224" customWidth="1"/>
    <col min="9" max="9" width="15.75" customWidth="1"/>
    <col min="10" max="10" width="19.875" style="871" customWidth="1" outlineLevel="1"/>
    <col min="11" max="11" width="59.875" style="411" customWidth="1" outlineLevel="1"/>
    <col min="12" max="12" width="9.75" customWidth="1"/>
    <col min="13" max="13" width="30.75" style="107" hidden="1" customWidth="1" outlineLevel="1"/>
    <col min="14" max="14" width="14.75" hidden="1" customWidth="1" outlineLevel="1"/>
    <col min="15" max="15" width="12.375" hidden="1" customWidth="1" outlineLevel="1"/>
    <col min="16" max="17" width="2.875" hidden="1" customWidth="1" outlineLevel="1"/>
    <col min="18" max="18" width="2.875" customWidth="1" collapsed="1"/>
    <col min="19" max="20" width="2.875" customWidth="1"/>
    <col min="21" max="21" width="8.875" customWidth="1"/>
    <col min="22" max="22" width="2.875" customWidth="1"/>
    <col min="23" max="25" width="3.875" customWidth="1"/>
    <col min="26" max="26" width="6.875" customWidth="1"/>
    <col min="27" max="49" width="3.875" customWidth="1"/>
    <col min="50" max="50" width="6.875" customWidth="1"/>
    <col min="51" max="51" width="8.875" customWidth="1"/>
    <col min="52" max="56" width="3.875" customWidth="1"/>
    <col min="57" max="57" width="11.875" bestFit="1" customWidth="1"/>
    <col min="58" max="58" width="3.875" customWidth="1"/>
    <col min="59" max="59" width="5.875" customWidth="1"/>
    <col min="60" max="60" width="3.875" customWidth="1"/>
    <col min="61" max="61" width="11.875" bestFit="1" customWidth="1"/>
    <col min="62" max="69" width="3.875" customWidth="1"/>
    <col min="70" max="70" width="10.875" bestFit="1" customWidth="1"/>
    <col min="71" max="86" width="3.875" customWidth="1"/>
    <col min="87" max="87" width="11.875" bestFit="1" customWidth="1"/>
    <col min="88" max="94" width="3.875" customWidth="1"/>
    <col min="95" max="95" width="11.875" bestFit="1" customWidth="1"/>
    <col min="96" max="112" width="3.875" customWidth="1"/>
    <col min="113" max="113" width="11.875" bestFit="1" customWidth="1"/>
    <col min="114" max="120" width="3.875" customWidth="1"/>
    <col min="121" max="121" width="5.875" customWidth="1"/>
    <col min="122" max="125" width="3.875" customWidth="1"/>
    <col min="126" max="126" width="5.875" customWidth="1"/>
    <col min="127" max="129" width="3.875" customWidth="1"/>
    <col min="130" max="130" width="5.875" customWidth="1"/>
    <col min="131" max="131" width="3.875" customWidth="1"/>
    <col min="132" max="132" width="10.875" bestFit="1" customWidth="1"/>
    <col min="133" max="146" width="3.875" customWidth="1"/>
    <col min="147" max="147" width="6.875" customWidth="1"/>
    <col min="148" max="151" width="3.875" customWidth="1"/>
    <col min="152" max="152" width="5.875" customWidth="1"/>
    <col min="153" max="155" width="3.875" customWidth="1"/>
    <col min="156" max="160" width="4.875" customWidth="1"/>
    <col min="161" max="161" width="9.875" bestFit="1" customWidth="1"/>
    <col min="162" max="175" width="4.875" customWidth="1"/>
    <col min="176" max="176" width="6.875" customWidth="1"/>
    <col min="177" max="180" width="4.875" customWidth="1"/>
    <col min="181" max="181" width="6.875" customWidth="1"/>
    <col min="182" max="189" width="4.875" customWidth="1"/>
    <col min="190" max="190" width="7.875" customWidth="1"/>
    <col min="191" max="194" width="4.875" customWidth="1"/>
    <col min="195" max="195" width="6.875" customWidth="1"/>
    <col min="196" max="196" width="4.875" customWidth="1"/>
    <col min="197" max="197" width="8.875" customWidth="1"/>
    <col min="198" max="206" width="4.875" customWidth="1"/>
    <col min="207" max="207" width="6.875" customWidth="1"/>
    <col min="208" max="208" width="9.875" bestFit="1" customWidth="1"/>
    <col min="209" max="210" width="4.875" customWidth="1"/>
    <col min="211" max="211" width="11.875" bestFit="1" customWidth="1"/>
    <col min="212" max="212" width="6.875" customWidth="1"/>
    <col min="213" max="215" width="4.875" customWidth="1"/>
    <col min="216" max="216" width="7.875" customWidth="1"/>
    <col min="217" max="219" width="4.875" customWidth="1"/>
    <col min="220" max="220" width="11.875" bestFit="1" customWidth="1"/>
    <col min="221" max="224" width="4.875" customWidth="1"/>
    <col min="225" max="225" width="11.875" bestFit="1" customWidth="1"/>
    <col min="226" max="234" width="4.875" customWidth="1"/>
    <col min="235" max="235" width="7.875" customWidth="1"/>
    <col min="236" max="237" width="4.875" customWidth="1"/>
    <col min="238" max="238" width="10.875" bestFit="1" customWidth="1"/>
    <col min="239" max="239" width="4.875" customWidth="1"/>
    <col min="240" max="240" width="6.875" customWidth="1"/>
    <col min="241" max="243" width="4.875" customWidth="1"/>
    <col min="244" max="244" width="11.875" bestFit="1" customWidth="1"/>
    <col min="245" max="249" width="4.875" customWidth="1"/>
    <col min="250" max="251" width="11.875" bestFit="1" customWidth="1"/>
    <col min="252" max="253" width="4.875" customWidth="1"/>
    <col min="254" max="254" width="6.875" customWidth="1"/>
    <col min="255" max="255" width="11.875" bestFit="1" customWidth="1"/>
    <col min="256" max="273" width="4.875" customWidth="1"/>
    <col min="274" max="274" width="11.875" bestFit="1" customWidth="1"/>
    <col min="275" max="284" width="4.875" customWidth="1"/>
    <col min="285" max="285" width="7.875" customWidth="1"/>
    <col min="286" max="286" width="6.875" customWidth="1"/>
    <col min="287" max="287" width="4.875" customWidth="1"/>
    <col min="288" max="288" width="8.875" customWidth="1"/>
    <col min="289" max="293" width="4.875" customWidth="1"/>
    <col min="294" max="294" width="11.875" bestFit="1" customWidth="1"/>
    <col min="295" max="314" width="4.875" customWidth="1"/>
    <col min="315" max="315" width="11.875" bestFit="1" customWidth="1"/>
    <col min="316" max="323" width="4.875" customWidth="1"/>
    <col min="324" max="324" width="6.875" customWidth="1"/>
    <col min="325" max="330" width="4.875" customWidth="1"/>
    <col min="331" max="331" width="11.875" bestFit="1" customWidth="1"/>
    <col min="332" max="332" width="4.875" customWidth="1"/>
    <col min="333" max="333" width="8.875" customWidth="1"/>
    <col min="334" max="365" width="4.875" customWidth="1"/>
    <col min="366" max="366" width="11.875" bestFit="1" customWidth="1"/>
    <col min="367" max="369" width="4.875" customWidth="1"/>
    <col min="370" max="370" width="9.875" bestFit="1" customWidth="1"/>
    <col min="371" max="377" width="4.875" customWidth="1"/>
    <col min="378" max="378" width="11.875" bestFit="1" customWidth="1"/>
    <col min="379" max="391" width="4.875" customWidth="1"/>
    <col min="392" max="392" width="9.875" bestFit="1" customWidth="1"/>
    <col min="393" max="393" width="6.875" customWidth="1"/>
    <col min="394" max="394" width="9.875" bestFit="1" customWidth="1"/>
    <col min="395" max="395" width="7.875" customWidth="1"/>
    <col min="396" max="406" width="4.875" customWidth="1"/>
    <col min="407" max="407" width="7.875" customWidth="1"/>
    <col min="408" max="415" width="4.875" customWidth="1"/>
    <col min="416" max="416" width="10.875" bestFit="1" customWidth="1"/>
    <col min="417" max="420" width="4.875" customWidth="1"/>
    <col min="421" max="421" width="7.875" customWidth="1"/>
    <col min="422" max="427" width="4.875" customWidth="1"/>
    <col min="428" max="428" width="9.875" bestFit="1" customWidth="1"/>
    <col min="429" max="436" width="4.875" customWidth="1"/>
    <col min="437" max="437" width="7.875" customWidth="1"/>
    <col min="438" max="445" width="4.875" customWidth="1"/>
    <col min="446" max="446" width="7.875" customWidth="1"/>
    <col min="447" max="458" width="4.875" customWidth="1"/>
    <col min="459" max="459" width="11.875" bestFit="1" customWidth="1"/>
    <col min="460" max="469" width="4.875" customWidth="1"/>
    <col min="470" max="470" width="7.875" customWidth="1"/>
    <col min="471" max="471" width="4.875" customWidth="1"/>
    <col min="472" max="472" width="9.875" bestFit="1" customWidth="1"/>
    <col min="473" max="481" width="4.875" customWidth="1"/>
    <col min="482" max="483" width="11.875" bestFit="1" customWidth="1"/>
    <col min="484" max="484" width="4.875" customWidth="1"/>
    <col min="485" max="485" width="11.875" bestFit="1" customWidth="1"/>
    <col min="486" max="495" width="4.875" customWidth="1"/>
    <col min="496" max="496" width="11.875" bestFit="1" customWidth="1"/>
    <col min="497" max="505" width="4.875" customWidth="1"/>
    <col min="506" max="506" width="11.875" bestFit="1" customWidth="1"/>
    <col min="507" max="508" width="4.875" customWidth="1"/>
    <col min="509" max="515" width="5.875" customWidth="1"/>
    <col min="516" max="516" width="7.875" customWidth="1"/>
    <col min="517" max="521" width="5.875" customWidth="1"/>
    <col min="522" max="522" width="8.875" customWidth="1"/>
    <col min="523" max="523" width="7.875" customWidth="1"/>
    <col min="524" max="529" width="5.875" customWidth="1"/>
    <col min="530" max="530" width="11.875" bestFit="1" customWidth="1"/>
    <col min="531" max="532" width="5.875" customWidth="1"/>
    <col min="533" max="533" width="11.875" bestFit="1" customWidth="1"/>
    <col min="534" max="540" width="5.875" customWidth="1"/>
    <col min="541" max="541" width="7.875" customWidth="1"/>
    <col min="542" max="544" width="5.875" customWidth="1"/>
    <col min="545" max="545" width="8.875" customWidth="1"/>
    <col min="546" max="546" width="5.875" customWidth="1"/>
    <col min="547" max="547" width="11.875" bestFit="1" customWidth="1"/>
    <col min="548" max="548" width="5.875" customWidth="1"/>
    <col min="549" max="549" width="10.875" bestFit="1" customWidth="1"/>
    <col min="550" max="555" width="5.875" customWidth="1"/>
    <col min="556" max="556" width="9.875" bestFit="1" customWidth="1"/>
    <col min="557" max="557" width="5.875" customWidth="1"/>
    <col min="558" max="558" width="8.875" customWidth="1"/>
    <col min="559" max="575" width="5.875" customWidth="1"/>
    <col min="576" max="576" width="8.875" customWidth="1"/>
    <col min="577" max="577" width="11.875" bestFit="1" customWidth="1"/>
    <col min="578" max="582" width="5.875" customWidth="1"/>
    <col min="583" max="583" width="7.875" customWidth="1"/>
    <col min="584" max="585" width="5.875" customWidth="1"/>
    <col min="586" max="587" width="11.875" bestFit="1" customWidth="1"/>
    <col min="588" max="588" width="5.875" customWidth="1"/>
    <col min="589" max="589" width="9.875" bestFit="1" customWidth="1"/>
    <col min="590" max="602" width="5.875" customWidth="1"/>
    <col min="603" max="603" width="11.875" bestFit="1" customWidth="1"/>
    <col min="604" max="606" width="5.875" customWidth="1"/>
    <col min="607" max="607" width="11.875" bestFit="1" customWidth="1"/>
    <col min="608" max="608" width="5.875" customWidth="1"/>
    <col min="609" max="609" width="8.875" customWidth="1"/>
    <col min="610" max="610" width="5.875" customWidth="1"/>
    <col min="611" max="611" width="10.875" bestFit="1" customWidth="1"/>
    <col min="612" max="613" width="5.875" customWidth="1"/>
    <col min="614" max="614" width="11.875" bestFit="1" customWidth="1"/>
    <col min="615" max="616" width="5.875" customWidth="1"/>
    <col min="617" max="617" width="7.875" customWidth="1"/>
    <col min="618" max="621" width="5.875" customWidth="1"/>
    <col min="622" max="622" width="11.875" bestFit="1" customWidth="1"/>
    <col min="623" max="623" width="5.875" customWidth="1"/>
    <col min="624" max="624" width="11.875" bestFit="1" customWidth="1"/>
    <col min="625" max="629" width="5.875" customWidth="1"/>
    <col min="630" max="630" width="11.875" bestFit="1" customWidth="1"/>
    <col min="631" max="632" width="5.875" customWidth="1"/>
    <col min="633" max="633" width="11.875" bestFit="1" customWidth="1"/>
    <col min="634" max="636" width="5.875" customWidth="1"/>
    <col min="637" max="637" width="11.875" bestFit="1" customWidth="1"/>
    <col min="638" max="640" width="5.875" customWidth="1"/>
    <col min="641" max="641" width="11.875" bestFit="1" customWidth="1"/>
    <col min="642" max="644" width="5.875" customWidth="1"/>
    <col min="645" max="645" width="8.875" customWidth="1"/>
    <col min="646" max="646" width="5.875" customWidth="1"/>
    <col min="647" max="647" width="11.875" bestFit="1" customWidth="1"/>
    <col min="648" max="653" width="5.875" customWidth="1"/>
    <col min="654" max="654" width="9.875" bestFit="1" customWidth="1"/>
    <col min="655" max="657" width="5.875" customWidth="1"/>
    <col min="658" max="658" width="9.875" bestFit="1" customWidth="1"/>
    <col min="659" max="662" width="5.875" customWidth="1"/>
    <col min="663" max="663" width="11.875" bestFit="1" customWidth="1"/>
    <col min="664" max="665" width="5.875" customWidth="1"/>
    <col min="666" max="666" width="9.875" bestFit="1" customWidth="1"/>
    <col min="667" max="669" width="5.875" customWidth="1"/>
    <col min="670" max="670" width="11.875" bestFit="1" customWidth="1"/>
    <col min="671" max="672" width="5.875" customWidth="1"/>
    <col min="673" max="673" width="9.875" bestFit="1" customWidth="1"/>
    <col min="674" max="678" width="5.875" customWidth="1"/>
    <col min="679" max="679" width="10.875" bestFit="1" customWidth="1"/>
    <col min="680" max="682" width="5.875" customWidth="1"/>
    <col min="683" max="683" width="8.875" customWidth="1"/>
    <col min="684" max="689" width="5.875" customWidth="1"/>
    <col min="690" max="690" width="9.875" bestFit="1" customWidth="1"/>
    <col min="691" max="693" width="5.875" customWidth="1"/>
    <col min="694" max="694" width="10.875" bestFit="1" customWidth="1"/>
    <col min="695" max="700" width="5.875" customWidth="1"/>
    <col min="701" max="701" width="11.875" bestFit="1" customWidth="1"/>
    <col min="702" max="706" width="5.875" customWidth="1"/>
    <col min="707" max="708" width="11.875" bestFit="1" customWidth="1"/>
    <col min="709" max="716" width="5.875" customWidth="1"/>
    <col min="717" max="717" width="8.875" customWidth="1"/>
    <col min="718" max="721" width="5.875" customWidth="1"/>
    <col min="722" max="722" width="11.875" bestFit="1" customWidth="1"/>
    <col min="723" max="724" width="5.875" customWidth="1"/>
    <col min="725" max="725" width="9.875" bestFit="1" customWidth="1"/>
    <col min="726" max="728" width="5.875" customWidth="1"/>
    <col min="729" max="729" width="11.875" bestFit="1" customWidth="1"/>
    <col min="730" max="737" width="5.875" customWidth="1"/>
    <col min="738" max="738" width="8.875" customWidth="1"/>
    <col min="739" max="739" width="5.875" customWidth="1"/>
    <col min="740" max="740" width="7.875" customWidth="1"/>
    <col min="741" max="741" width="11.875" bestFit="1" customWidth="1"/>
    <col min="742" max="742" width="8.875" customWidth="1"/>
    <col min="743" max="747" width="5.875" customWidth="1"/>
    <col min="748" max="748" width="10.875" bestFit="1" customWidth="1"/>
    <col min="749" max="750" width="11.875" bestFit="1" customWidth="1"/>
    <col min="751" max="754" width="5.875" customWidth="1"/>
    <col min="755" max="755" width="11.875" bestFit="1" customWidth="1"/>
    <col min="756" max="761" width="5.875" customWidth="1"/>
    <col min="762" max="762" width="11.875" bestFit="1" customWidth="1"/>
    <col min="763" max="763" width="5.875" customWidth="1"/>
    <col min="764" max="764" width="11.875" bestFit="1" customWidth="1"/>
    <col min="765" max="766" width="5.875" customWidth="1"/>
    <col min="767" max="767" width="9.875" bestFit="1" customWidth="1"/>
    <col min="768" max="768" width="11.875" bestFit="1" customWidth="1"/>
    <col min="769" max="769" width="10.875" bestFit="1" customWidth="1"/>
    <col min="770" max="770" width="5.875" customWidth="1"/>
    <col min="771" max="771" width="11.875" bestFit="1" customWidth="1"/>
    <col min="772" max="772" width="10.875" bestFit="1" customWidth="1"/>
    <col min="773" max="774" width="5.875" customWidth="1"/>
    <col min="775" max="775" width="11.875" bestFit="1" customWidth="1"/>
    <col min="776" max="776" width="7.875" customWidth="1"/>
    <col min="777" max="778" width="5.875" customWidth="1"/>
    <col min="779" max="779" width="11.875" bestFit="1" customWidth="1"/>
    <col min="780" max="790" width="5.875" customWidth="1"/>
    <col min="791" max="791" width="11.875" bestFit="1" customWidth="1"/>
    <col min="792" max="792" width="5.875" customWidth="1"/>
    <col min="793" max="793" width="11.875" bestFit="1" customWidth="1"/>
    <col min="794" max="794" width="5.875" customWidth="1"/>
    <col min="795" max="795" width="9.875" bestFit="1" customWidth="1"/>
    <col min="796" max="796" width="5.875" customWidth="1"/>
    <col min="797" max="797" width="10.875" bestFit="1" customWidth="1"/>
    <col min="798" max="798" width="8.875" customWidth="1"/>
    <col min="799" max="799" width="5.875" customWidth="1"/>
    <col min="800" max="800" width="11.875" bestFit="1" customWidth="1"/>
    <col min="801" max="801" width="9.875" bestFit="1" customWidth="1"/>
    <col min="802" max="802" width="11.875" bestFit="1" customWidth="1"/>
    <col min="803" max="803" width="6.875" customWidth="1"/>
    <col min="804" max="804" width="11.875" bestFit="1" customWidth="1"/>
    <col min="805" max="807" width="6.875" customWidth="1"/>
    <col min="808" max="808" width="11.875" bestFit="1" customWidth="1"/>
    <col min="809" max="809" width="6.875" customWidth="1"/>
    <col min="810" max="811" width="11.875" bestFit="1" customWidth="1"/>
    <col min="812" max="816" width="6.875" customWidth="1"/>
    <col min="817" max="817" width="9.875" bestFit="1" customWidth="1"/>
    <col min="818" max="819" width="10.875" bestFit="1" customWidth="1"/>
    <col min="820" max="820" width="11.875" bestFit="1" customWidth="1"/>
    <col min="821" max="823" width="6.875" customWidth="1"/>
    <col min="824" max="825" width="11.875" bestFit="1" customWidth="1"/>
    <col min="826" max="827" width="6.875" customWidth="1"/>
    <col min="828" max="828" width="11.875" bestFit="1" customWidth="1"/>
    <col min="829" max="829" width="10.875" bestFit="1" customWidth="1"/>
    <col min="830" max="830" width="6.875" customWidth="1"/>
    <col min="831" max="831" width="8.875" customWidth="1"/>
    <col min="832" max="833" width="6.875" customWidth="1"/>
    <col min="834" max="834" width="9.875" bestFit="1" customWidth="1"/>
    <col min="835" max="835" width="6.875" customWidth="1"/>
    <col min="836" max="836" width="10.875" bestFit="1" customWidth="1"/>
    <col min="837" max="838" width="11.875" bestFit="1" customWidth="1"/>
    <col min="839" max="839" width="6.875" customWidth="1"/>
    <col min="840" max="840" width="9.875" bestFit="1" customWidth="1"/>
    <col min="841" max="843" width="6.875" customWidth="1"/>
    <col min="844" max="844" width="9.875" bestFit="1" customWidth="1"/>
    <col min="845" max="845" width="6.875" customWidth="1"/>
    <col min="846" max="846" width="10.875" bestFit="1" customWidth="1"/>
    <col min="847" max="847" width="6.875" customWidth="1"/>
    <col min="848" max="848" width="11.875" bestFit="1" customWidth="1"/>
    <col min="849" max="849" width="10.875" bestFit="1" customWidth="1"/>
    <col min="850" max="851" width="11.875" bestFit="1" customWidth="1"/>
    <col min="852" max="859" width="6.875" customWidth="1"/>
    <col min="860" max="861" width="11.875" bestFit="1" customWidth="1"/>
    <col min="862" max="865" width="7.875" customWidth="1"/>
    <col min="866" max="867" width="11.875" bestFit="1" customWidth="1"/>
    <col min="868" max="868" width="7.875" customWidth="1"/>
    <col min="869" max="869" width="8.875" customWidth="1"/>
    <col min="870" max="870" width="6.875" customWidth="1"/>
    <col min="871" max="871" width="11.375" bestFit="1" customWidth="1"/>
  </cols>
  <sheetData>
    <row r="1" spans="5:12" ht="37.950000000000003" customHeight="1" thickBot="1" x14ac:dyDescent="0.25">
      <c r="E1" s="112" t="s">
        <v>0</v>
      </c>
      <c r="F1" s="113" t="s">
        <v>1</v>
      </c>
      <c r="G1" s="2">
        <v>2022</v>
      </c>
      <c r="H1" s="282">
        <v>2023</v>
      </c>
      <c r="I1" s="282" t="s">
        <v>196</v>
      </c>
      <c r="J1" s="412" t="s">
        <v>195</v>
      </c>
      <c r="K1" s="413" t="s">
        <v>355</v>
      </c>
    </row>
    <row r="2" spans="5:12" ht="37.950000000000003" customHeight="1" x14ac:dyDescent="0.25">
      <c r="E2" s="114" t="s">
        <v>3</v>
      </c>
      <c r="F2" s="115" t="s">
        <v>4</v>
      </c>
      <c r="G2" s="487">
        <v>32071144</v>
      </c>
      <c r="H2" s="309">
        <v>31344871</v>
      </c>
      <c r="I2" s="116">
        <f t="shared" ref="I2:I19" si="0">H2-G2</f>
        <v>-726273</v>
      </c>
      <c r="J2" s="861">
        <f>I2/G2</f>
        <v>-2.2645684232530029E-2</v>
      </c>
      <c r="K2" s="440" t="s">
        <v>636</v>
      </c>
    </row>
    <row r="3" spans="5:12" ht="21.6" customHeight="1" x14ac:dyDescent="0.25">
      <c r="E3" s="117" t="s">
        <v>5</v>
      </c>
      <c r="F3" s="118" t="s">
        <v>6</v>
      </c>
      <c r="G3" s="488">
        <v>29335988</v>
      </c>
      <c r="H3" s="291">
        <v>28441559</v>
      </c>
      <c r="I3" s="119">
        <f>H3-G3</f>
        <v>-894429</v>
      </c>
      <c r="J3" s="862">
        <f>I3/G3</f>
        <v>-3.0489138460242076E-2</v>
      </c>
      <c r="K3" s="293"/>
    </row>
    <row r="4" spans="5:12" ht="15" hidden="1" customHeight="1" outlineLevel="1" x14ac:dyDescent="0.25">
      <c r="E4" s="120" t="s">
        <v>8</v>
      </c>
      <c r="F4" s="121" t="s">
        <v>9</v>
      </c>
      <c r="G4" s="489">
        <v>27602472</v>
      </c>
      <c r="H4" s="290">
        <v>28441559</v>
      </c>
      <c r="I4" s="290">
        <f>H4-G4</f>
        <v>839087</v>
      </c>
      <c r="J4" s="863">
        <f>I4/G4</f>
        <v>3.0398980207279987E-2</v>
      </c>
      <c r="K4" s="293">
        <f>(H4+H6+H9+H12-H62)</f>
        <v>26952205</v>
      </c>
    </row>
    <row r="5" spans="5:12" ht="15" hidden="1" customHeight="1" outlineLevel="1" x14ac:dyDescent="0.25">
      <c r="E5" s="120" t="s">
        <v>70</v>
      </c>
      <c r="F5" s="121" t="s">
        <v>704</v>
      </c>
      <c r="G5" s="490">
        <v>1733516</v>
      </c>
      <c r="H5" s="280">
        <v>0</v>
      </c>
      <c r="I5" s="290">
        <f t="shared" si="0"/>
        <v>-1733516</v>
      </c>
      <c r="J5" s="863">
        <f>I5/G5</f>
        <v>-1</v>
      </c>
      <c r="K5" s="293"/>
    </row>
    <row r="6" spans="5:12" ht="26.4" customHeight="1" collapsed="1" x14ac:dyDescent="0.25">
      <c r="E6" s="124" t="s">
        <v>10</v>
      </c>
      <c r="F6" s="125" t="s">
        <v>11</v>
      </c>
      <c r="G6" s="488">
        <v>1913189</v>
      </c>
      <c r="H6" s="291">
        <v>1998295</v>
      </c>
      <c r="I6" s="126">
        <f t="shared" si="0"/>
        <v>85106</v>
      </c>
      <c r="J6" s="864">
        <f t="shared" ref="J6:J19" si="1">I6/G6</f>
        <v>4.4483843467634405E-2</v>
      </c>
      <c r="K6" s="414" t="s">
        <v>1538</v>
      </c>
      <c r="L6" s="157"/>
    </row>
    <row r="7" spans="5:12" ht="21" hidden="1" customHeight="1" outlineLevel="1" x14ac:dyDescent="0.25">
      <c r="E7" s="120" t="s">
        <v>12</v>
      </c>
      <c r="F7" s="121" t="s">
        <v>9</v>
      </c>
      <c r="G7" s="480">
        <v>1786653</v>
      </c>
      <c r="H7" s="307">
        <v>1807872</v>
      </c>
      <c r="I7" s="122">
        <f t="shared" si="0"/>
        <v>21219</v>
      </c>
      <c r="J7" s="865">
        <f t="shared" si="1"/>
        <v>1.1876396815721911E-2</v>
      </c>
      <c r="K7" s="414" t="s">
        <v>1453</v>
      </c>
    </row>
    <row r="8" spans="5:12" ht="21" hidden="1" customHeight="1" outlineLevel="1" x14ac:dyDescent="0.25">
      <c r="E8" s="120" t="s">
        <v>13</v>
      </c>
      <c r="F8" s="121" t="s">
        <v>14</v>
      </c>
      <c r="G8" s="480">
        <v>126536</v>
      </c>
      <c r="H8" s="307">
        <v>190423</v>
      </c>
      <c r="I8" s="122">
        <f t="shared" si="0"/>
        <v>63887</v>
      </c>
      <c r="J8" s="863">
        <f t="shared" si="1"/>
        <v>0.50489188847442623</v>
      </c>
      <c r="K8" s="460" t="s">
        <v>1454</v>
      </c>
    </row>
    <row r="9" spans="5:12" ht="29.4" customHeight="1" collapsed="1" x14ac:dyDescent="0.25">
      <c r="E9" s="124" t="s">
        <v>15</v>
      </c>
      <c r="F9" s="125" t="s">
        <v>1508</v>
      </c>
      <c r="G9" s="488">
        <v>342949</v>
      </c>
      <c r="H9" s="291">
        <v>412472</v>
      </c>
      <c r="I9" s="126">
        <f t="shared" si="0"/>
        <v>69523</v>
      </c>
      <c r="J9" s="864">
        <f t="shared" si="1"/>
        <v>0.20272110430413851</v>
      </c>
      <c r="K9" s="293"/>
    </row>
    <row r="10" spans="5:12" ht="21" hidden="1" customHeight="1" outlineLevel="1" x14ac:dyDescent="0.25">
      <c r="E10" s="120" t="s">
        <v>16</v>
      </c>
      <c r="F10" s="121" t="s">
        <v>17</v>
      </c>
      <c r="G10" s="491">
        <v>292991</v>
      </c>
      <c r="H10" s="308">
        <v>326353</v>
      </c>
      <c r="I10" s="128">
        <f t="shared" si="0"/>
        <v>33362</v>
      </c>
      <c r="J10" s="866">
        <f t="shared" si="1"/>
        <v>0.11386697884917966</v>
      </c>
      <c r="K10" s="293"/>
    </row>
    <row r="11" spans="5:12" ht="21" hidden="1" customHeight="1" outlineLevel="1" x14ac:dyDescent="0.25">
      <c r="E11" s="120" t="s">
        <v>18</v>
      </c>
      <c r="F11" s="121" t="s">
        <v>14</v>
      </c>
      <c r="G11" s="491">
        <v>49958</v>
      </c>
      <c r="H11" s="308">
        <v>86119</v>
      </c>
      <c r="I11" s="122">
        <f t="shared" si="0"/>
        <v>36161</v>
      </c>
      <c r="J11" s="863">
        <f t="shared" si="1"/>
        <v>0.72382801553304776</v>
      </c>
      <c r="K11" s="293"/>
    </row>
    <row r="12" spans="5:12" ht="25.95" customHeight="1" collapsed="1" x14ac:dyDescent="0.25">
      <c r="E12" s="124" t="s">
        <v>19</v>
      </c>
      <c r="F12" s="125" t="s">
        <v>1507</v>
      </c>
      <c r="G12" s="488">
        <v>479018</v>
      </c>
      <c r="H12" s="291">
        <v>492545</v>
      </c>
      <c r="I12" s="126">
        <f t="shared" si="0"/>
        <v>13527</v>
      </c>
      <c r="J12" s="864">
        <f t="shared" si="1"/>
        <v>2.8239022333189985E-2</v>
      </c>
      <c r="K12" s="293"/>
    </row>
    <row r="13" spans="5:12" ht="21.6" hidden="1" customHeight="1" outlineLevel="1" x14ac:dyDescent="0.25">
      <c r="E13" s="120" t="s">
        <v>20</v>
      </c>
      <c r="F13" s="121" t="s">
        <v>17</v>
      </c>
      <c r="G13" s="491">
        <v>422060</v>
      </c>
      <c r="H13" s="128">
        <v>431787</v>
      </c>
      <c r="I13" s="128">
        <f t="shared" si="0"/>
        <v>9727</v>
      </c>
      <c r="J13" s="866">
        <f t="shared" si="1"/>
        <v>2.3046486281571341E-2</v>
      </c>
      <c r="K13" s="293"/>
    </row>
    <row r="14" spans="5:12" ht="21.6" hidden="1" customHeight="1" outlineLevel="1" x14ac:dyDescent="0.25">
      <c r="E14" s="120" t="s">
        <v>21</v>
      </c>
      <c r="F14" s="121" t="s">
        <v>14</v>
      </c>
      <c r="G14" s="491">
        <v>56958</v>
      </c>
      <c r="H14" s="122">
        <v>60758</v>
      </c>
      <c r="I14" s="122">
        <f t="shared" si="0"/>
        <v>3800</v>
      </c>
      <c r="J14" s="863">
        <f t="shared" si="1"/>
        <v>6.6715825696126968E-2</v>
      </c>
      <c r="K14" s="293"/>
    </row>
    <row r="15" spans="5:12" ht="17.399999999999999" customHeight="1" collapsed="1" x14ac:dyDescent="0.25">
      <c r="E15" s="124" t="s">
        <v>22</v>
      </c>
      <c r="F15" s="125" t="s">
        <v>703</v>
      </c>
      <c r="G15" s="488">
        <v>0</v>
      </c>
      <c r="H15" s="291">
        <v>0</v>
      </c>
      <c r="I15" s="126">
        <f t="shared" si="0"/>
        <v>0</v>
      </c>
      <c r="J15" s="864"/>
      <c r="K15" s="293"/>
    </row>
    <row r="16" spans="5:12" ht="34.950000000000003" customHeight="1" x14ac:dyDescent="0.25">
      <c r="E16" s="124" t="s">
        <v>23</v>
      </c>
      <c r="F16" s="125" t="s">
        <v>24</v>
      </c>
      <c r="G16" s="294">
        <v>90320</v>
      </c>
      <c r="H16" s="126">
        <v>160000</v>
      </c>
      <c r="I16" s="126">
        <f t="shared" si="0"/>
        <v>69680</v>
      </c>
      <c r="J16" s="864">
        <f t="shared" si="1"/>
        <v>0.77147918511957481</v>
      </c>
      <c r="K16" s="293"/>
    </row>
    <row r="17" spans="4:11" ht="17.399999999999999" customHeight="1" x14ac:dyDescent="0.25">
      <c r="E17" s="124" t="s">
        <v>28</v>
      </c>
      <c r="F17" s="125" t="s">
        <v>29</v>
      </c>
      <c r="G17" s="294">
        <v>59000</v>
      </c>
      <c r="H17" s="126">
        <v>65000</v>
      </c>
      <c r="I17" s="126">
        <f t="shared" si="0"/>
        <v>6000</v>
      </c>
      <c r="J17" s="864">
        <f t="shared" si="1"/>
        <v>0.10169491525423729</v>
      </c>
      <c r="K17" s="293"/>
    </row>
    <row r="18" spans="4:11" ht="29.4" customHeight="1" x14ac:dyDescent="0.25">
      <c r="E18" s="124" t="s">
        <v>32</v>
      </c>
      <c r="F18" s="125" t="s">
        <v>33</v>
      </c>
      <c r="G18" s="294">
        <v>66891</v>
      </c>
      <c r="H18" s="126">
        <v>6453</v>
      </c>
      <c r="I18" s="126">
        <f t="shared" si="0"/>
        <v>-60438</v>
      </c>
      <c r="J18" s="864">
        <f t="shared" si="1"/>
        <v>-0.90352962281921334</v>
      </c>
      <c r="K18" s="460" t="s">
        <v>1172</v>
      </c>
    </row>
    <row r="19" spans="4:11" ht="30" customHeight="1" x14ac:dyDescent="0.25">
      <c r="E19" s="129" t="s">
        <v>37</v>
      </c>
      <c r="F19" s="125" t="s">
        <v>38</v>
      </c>
      <c r="G19" s="492">
        <v>595756</v>
      </c>
      <c r="H19" s="292">
        <v>433856</v>
      </c>
      <c r="I19" s="126">
        <f t="shared" si="0"/>
        <v>-161900</v>
      </c>
      <c r="J19" s="864">
        <f t="shared" si="1"/>
        <v>-0.27175555093024661</v>
      </c>
      <c r="K19" s="460" t="s">
        <v>1659</v>
      </c>
    </row>
    <row r="20" spans="4:11" ht="17.399999999999999" customHeight="1" x14ac:dyDescent="0.25">
      <c r="E20" s="129" t="s">
        <v>39</v>
      </c>
      <c r="F20" s="125" t="s">
        <v>40</v>
      </c>
      <c r="G20" s="294">
        <v>0</v>
      </c>
      <c r="H20" s="126">
        <v>0</v>
      </c>
      <c r="I20" s="126">
        <f>H20-G20+G22</f>
        <v>0</v>
      </c>
      <c r="J20" s="864"/>
      <c r="K20" s="293"/>
    </row>
    <row r="21" spans="4:11" ht="17.399999999999999" hidden="1" customHeight="1" outlineLevel="1" x14ac:dyDescent="0.25">
      <c r="E21" s="130" t="s">
        <v>41</v>
      </c>
      <c r="F21" s="131" t="s">
        <v>42</v>
      </c>
      <c r="G21" s="927"/>
      <c r="H21" s="132"/>
      <c r="I21" s="132"/>
      <c r="J21" s="867"/>
      <c r="K21" s="293"/>
    </row>
    <row r="22" spans="4:11" ht="18" hidden="1" customHeight="1" outlineLevel="1" x14ac:dyDescent="0.25">
      <c r="E22" s="130"/>
      <c r="F22" s="131"/>
      <c r="G22" s="132"/>
      <c r="H22" s="132"/>
      <c r="I22" s="132"/>
      <c r="J22" s="867"/>
      <c r="K22" s="293"/>
    </row>
    <row r="23" spans="4:11" ht="17.399999999999999" hidden="1" customHeight="1" outlineLevel="1" x14ac:dyDescent="0.25">
      <c r="E23" s="1003"/>
      <c r="F23" s="1004" t="s">
        <v>1281</v>
      </c>
      <c r="G23" s="502"/>
      <c r="H23" s="502"/>
      <c r="I23" s="502"/>
      <c r="J23" s="1005"/>
      <c r="K23" s="293"/>
    </row>
    <row r="24" spans="4:11" ht="33.6" customHeight="1" collapsed="1" x14ac:dyDescent="0.25">
      <c r="E24" s="129" t="s">
        <v>44</v>
      </c>
      <c r="F24" s="125" t="s">
        <v>45</v>
      </c>
      <c r="G24" s="294">
        <v>235000</v>
      </c>
      <c r="H24" s="295">
        <v>295000</v>
      </c>
      <c r="I24" s="126">
        <f>H24-G24</f>
        <v>60000</v>
      </c>
      <c r="J24" s="864">
        <f>I24/G24</f>
        <v>0.25531914893617019</v>
      </c>
      <c r="K24" s="460"/>
    </row>
    <row r="25" spans="4:11" ht="37.950000000000003" hidden="1" customHeight="1" outlineLevel="1" x14ac:dyDescent="0.25">
      <c r="E25" s="120" t="s">
        <v>46</v>
      </c>
      <c r="F25" s="121" t="s">
        <v>47</v>
      </c>
      <c r="G25" s="480">
        <v>235000</v>
      </c>
      <c r="H25" s="122">
        <v>295000</v>
      </c>
      <c r="I25" s="122">
        <f>H25-G25</f>
        <v>60000</v>
      </c>
      <c r="J25" s="863">
        <f>I25/G25</f>
        <v>0.25531914893617019</v>
      </c>
      <c r="K25" s="293"/>
    </row>
    <row r="26" spans="4:11" ht="37.950000000000003" hidden="1" customHeight="1" outlineLevel="1" x14ac:dyDescent="0.25">
      <c r="E26" s="120" t="s">
        <v>46</v>
      </c>
      <c r="F26" s="121" t="s">
        <v>242</v>
      </c>
      <c r="G26" s="480"/>
      <c r="H26" s="123"/>
      <c r="I26" s="122">
        <f>H26-G26</f>
        <v>0</v>
      </c>
      <c r="J26" s="863"/>
      <c r="K26" s="293"/>
    </row>
    <row r="27" spans="4:11" ht="46.95" customHeight="1" collapsed="1" thickBot="1" x14ac:dyDescent="0.3">
      <c r="E27" s="129" t="s">
        <v>48</v>
      </c>
      <c r="F27" s="125" t="s">
        <v>49</v>
      </c>
      <c r="G27" s="294">
        <v>1639103</v>
      </c>
      <c r="H27" s="295">
        <v>4234051</v>
      </c>
      <c r="I27" s="126">
        <f>H27-G27</f>
        <v>2594948</v>
      </c>
      <c r="J27" s="864">
        <f>I27/G27</f>
        <v>1.583151272372755</v>
      </c>
      <c r="K27" s="1404">
        <f>H27-H41</f>
        <v>520500</v>
      </c>
    </row>
    <row r="28" spans="4:11" ht="18" hidden="1" customHeight="1" outlineLevel="1" x14ac:dyDescent="0.25">
      <c r="E28" s="120" t="s">
        <v>50</v>
      </c>
      <c r="F28" s="121" t="s">
        <v>1619</v>
      </c>
      <c r="G28" s="493">
        <v>94000</v>
      </c>
      <c r="H28" s="443">
        <v>149000</v>
      </c>
      <c r="I28" s="325">
        <f t="shared" ref="I28:I42" si="2">H28-G28</f>
        <v>55000</v>
      </c>
      <c r="J28" s="868">
        <f t="shared" ref="J28:J42" si="3">I28/G28</f>
        <v>0.58510638297872342</v>
      </c>
      <c r="K28" s="441"/>
    </row>
    <row r="29" spans="4:11" ht="18" hidden="1" customHeight="1" outlineLevel="1" x14ac:dyDescent="0.25">
      <c r="D29" t="s">
        <v>52</v>
      </c>
      <c r="E29" s="133" t="s">
        <v>51</v>
      </c>
      <c r="F29" s="1364" t="s">
        <v>1573</v>
      </c>
      <c r="G29" s="1365">
        <v>24000</v>
      </c>
      <c r="H29" s="499">
        <v>24000</v>
      </c>
      <c r="I29" s="325">
        <f t="shared" si="2"/>
        <v>0</v>
      </c>
      <c r="J29" s="868">
        <f t="shared" si="3"/>
        <v>0</v>
      </c>
      <c r="K29" s="441"/>
    </row>
    <row r="30" spans="4:11" ht="27" hidden="1" customHeight="1" outlineLevel="1" x14ac:dyDescent="0.25">
      <c r="D30" t="s">
        <v>54</v>
      </c>
      <c r="E30" s="133" t="s">
        <v>53</v>
      </c>
      <c r="F30" s="1364" t="s">
        <v>1574</v>
      </c>
      <c r="G30" s="1365">
        <v>70000</v>
      </c>
      <c r="H30" s="499">
        <v>125000</v>
      </c>
      <c r="I30" s="325">
        <f t="shared" si="2"/>
        <v>55000</v>
      </c>
      <c r="J30" s="868">
        <f t="shared" si="3"/>
        <v>0.7857142857142857</v>
      </c>
      <c r="K30" s="441"/>
    </row>
    <row r="31" spans="4:11" ht="18" hidden="1" customHeight="1" outlineLevel="1" x14ac:dyDescent="0.25">
      <c r="E31" s="120" t="s">
        <v>55</v>
      </c>
      <c r="F31" s="121" t="s">
        <v>396</v>
      </c>
      <c r="G31" s="443">
        <v>12556</v>
      </c>
      <c r="H31" s="443">
        <v>0</v>
      </c>
      <c r="I31" s="325">
        <f t="shared" si="2"/>
        <v>-12556</v>
      </c>
      <c r="J31" s="868">
        <f t="shared" si="3"/>
        <v>-1</v>
      </c>
      <c r="K31" s="441"/>
    </row>
    <row r="32" spans="4:11" ht="26.4" hidden="1" customHeight="1" outlineLevel="1" x14ac:dyDescent="0.25">
      <c r="E32" s="133" t="s">
        <v>58</v>
      </c>
      <c r="F32" s="462" t="s">
        <v>394</v>
      </c>
      <c r="G32" s="443"/>
      <c r="H32" s="443"/>
      <c r="I32" s="325">
        <f t="shared" si="2"/>
        <v>0</v>
      </c>
      <c r="J32" s="868" t="e">
        <f t="shared" si="3"/>
        <v>#DIV/0!</v>
      </c>
      <c r="K32" s="441"/>
    </row>
    <row r="33" spans="1:196" ht="30" hidden="1" customHeight="1" outlineLevel="1" x14ac:dyDescent="0.25">
      <c r="E33" s="133" t="s">
        <v>60</v>
      </c>
      <c r="F33" s="134" t="s">
        <v>395</v>
      </c>
      <c r="G33" s="443"/>
      <c r="H33" s="443"/>
      <c r="I33" s="325">
        <f t="shared" si="2"/>
        <v>0</v>
      </c>
      <c r="J33" s="868" t="e">
        <f t="shared" si="3"/>
        <v>#DIV/0!</v>
      </c>
      <c r="K33" s="441"/>
    </row>
    <row r="34" spans="1:196" ht="18" hidden="1" customHeight="1" outlineLevel="1" x14ac:dyDescent="0.25">
      <c r="E34" s="120" t="s">
        <v>61</v>
      </c>
      <c r="F34" s="121" t="s">
        <v>56</v>
      </c>
      <c r="G34" s="493">
        <v>98000</v>
      </c>
      <c r="H34" s="443">
        <v>157000</v>
      </c>
      <c r="I34" s="325">
        <f t="shared" si="2"/>
        <v>59000</v>
      </c>
      <c r="J34" s="868">
        <f t="shared" si="3"/>
        <v>0.60204081632653061</v>
      </c>
      <c r="K34" s="441"/>
    </row>
    <row r="35" spans="1:196" ht="18" hidden="1" customHeight="1" outlineLevel="1" x14ac:dyDescent="0.25">
      <c r="D35" t="s">
        <v>57</v>
      </c>
      <c r="E35" s="1355" t="s">
        <v>397</v>
      </c>
      <c r="F35" s="1364" t="s">
        <v>399</v>
      </c>
      <c r="G35" s="1365">
        <v>61000</v>
      </c>
      <c r="H35" s="499">
        <v>120000</v>
      </c>
      <c r="I35" s="325">
        <f t="shared" si="2"/>
        <v>59000</v>
      </c>
      <c r="J35" s="868">
        <f t="shared" si="3"/>
        <v>0.96721311475409832</v>
      </c>
      <c r="K35" s="441"/>
    </row>
    <row r="36" spans="1:196" ht="18" hidden="1" customHeight="1" outlineLevel="1" x14ac:dyDescent="0.25">
      <c r="D36" t="s">
        <v>59</v>
      </c>
      <c r="E36" s="1355" t="s">
        <v>398</v>
      </c>
      <c r="F36" s="1364" t="s">
        <v>400</v>
      </c>
      <c r="G36" s="1365">
        <v>36000</v>
      </c>
      <c r="H36" s="499">
        <v>36000</v>
      </c>
      <c r="I36" s="325">
        <f t="shared" si="2"/>
        <v>0</v>
      </c>
      <c r="J36" s="868">
        <f t="shared" si="3"/>
        <v>0</v>
      </c>
      <c r="K36" s="441"/>
    </row>
    <row r="37" spans="1:196" ht="18" hidden="1" customHeight="1" outlineLevel="1" x14ac:dyDescent="0.25">
      <c r="D37" t="s">
        <v>793</v>
      </c>
      <c r="E37" s="1355" t="s">
        <v>401</v>
      </c>
      <c r="F37" s="1366" t="s">
        <v>402</v>
      </c>
      <c r="G37" s="1365">
        <v>1000</v>
      </c>
      <c r="H37" s="499">
        <v>1000</v>
      </c>
      <c r="I37" s="325">
        <f t="shared" si="2"/>
        <v>0</v>
      </c>
      <c r="J37" s="868">
        <f t="shared" si="3"/>
        <v>0</v>
      </c>
      <c r="K37" s="441"/>
    </row>
    <row r="38" spans="1:196" ht="30.6" hidden="1" customHeight="1" outlineLevel="1" x14ac:dyDescent="0.25">
      <c r="E38" s="120" t="s">
        <v>63</v>
      </c>
      <c r="F38" s="121" t="s">
        <v>62</v>
      </c>
      <c r="G38" s="493">
        <v>1325794</v>
      </c>
      <c r="H38" s="443">
        <v>3826051</v>
      </c>
      <c r="I38" s="325">
        <f t="shared" si="2"/>
        <v>2500257</v>
      </c>
      <c r="J38" s="868">
        <f t="shared" si="3"/>
        <v>1.8858563245873794</v>
      </c>
      <c r="K38" s="441"/>
    </row>
    <row r="39" spans="1:196" ht="26.4" hidden="1" customHeight="1" outlineLevel="1" x14ac:dyDescent="0.25">
      <c r="D39" t="s">
        <v>794</v>
      </c>
      <c r="E39" s="1355" t="s">
        <v>377</v>
      </c>
      <c r="F39" s="1364" t="s">
        <v>1575</v>
      </c>
      <c r="G39" s="1365">
        <v>20000</v>
      </c>
      <c r="H39" s="499">
        <v>110000</v>
      </c>
      <c r="I39" s="325">
        <f t="shared" si="2"/>
        <v>90000</v>
      </c>
      <c r="J39" s="868">
        <f t="shared" si="3"/>
        <v>4.5</v>
      </c>
      <c r="K39" s="1367" t="s">
        <v>1578</v>
      </c>
    </row>
    <row r="40" spans="1:196" ht="29.4" hidden="1" customHeight="1" outlineLevel="1" x14ac:dyDescent="0.25">
      <c r="D40" t="s">
        <v>1576</v>
      </c>
      <c r="E40" s="1355" t="s">
        <v>378</v>
      </c>
      <c r="F40" s="1364" t="s">
        <v>1577</v>
      </c>
      <c r="G40" s="1365">
        <v>2500</v>
      </c>
      <c r="H40" s="499">
        <v>2500</v>
      </c>
      <c r="I40" s="325">
        <f t="shared" si="2"/>
        <v>0</v>
      </c>
      <c r="J40" s="868">
        <f t="shared" si="3"/>
        <v>0</v>
      </c>
      <c r="K40" s="441"/>
    </row>
    <row r="41" spans="1:196" ht="27.6" hidden="1" customHeight="1" outlineLevel="1" x14ac:dyDescent="0.25">
      <c r="E41" s="358" t="s">
        <v>379</v>
      </c>
      <c r="F41" s="359" t="s">
        <v>403</v>
      </c>
      <c r="G41" s="493">
        <v>1303294</v>
      </c>
      <c r="H41" s="1403">
        <v>3713551</v>
      </c>
      <c r="I41" s="325">
        <f t="shared" si="2"/>
        <v>2410257</v>
      </c>
      <c r="J41" s="868">
        <f t="shared" si="3"/>
        <v>1.8493578578586258</v>
      </c>
      <c r="K41" s="441"/>
    </row>
    <row r="42" spans="1:196" ht="36" hidden="1" customHeight="1" outlineLevel="1" thickBot="1" x14ac:dyDescent="0.3">
      <c r="E42" s="120" t="s">
        <v>380</v>
      </c>
      <c r="F42" s="1166" t="s">
        <v>685</v>
      </c>
      <c r="G42" s="1368">
        <v>108753</v>
      </c>
      <c r="H42" s="1368">
        <v>102000</v>
      </c>
      <c r="I42" s="459">
        <f t="shared" si="2"/>
        <v>-6753</v>
      </c>
      <c r="J42" s="869">
        <f t="shared" si="3"/>
        <v>-6.2094838763068608E-2</v>
      </c>
      <c r="K42" s="1367" t="s">
        <v>1631</v>
      </c>
      <c r="O42">
        <v>66588</v>
      </c>
    </row>
    <row r="43" spans="1:196" ht="23.4" customHeight="1" collapsed="1" thickBot="1" x14ac:dyDescent="0.3">
      <c r="E43" s="135"/>
      <c r="F43" s="136" t="s">
        <v>64</v>
      </c>
      <c r="G43" s="494">
        <v>34757214</v>
      </c>
      <c r="H43" s="442">
        <v>36539231</v>
      </c>
      <c r="I43" s="227">
        <f>H43-G43</f>
        <v>1782017</v>
      </c>
      <c r="J43" s="870">
        <f>I43/G43</f>
        <v>5.127042115631017E-2</v>
      </c>
      <c r="K43" s="293"/>
    </row>
    <row r="44" spans="1:196" x14ac:dyDescent="0.2">
      <c r="O44" s="111"/>
    </row>
    <row r="45" spans="1:196" ht="15" thickBot="1" x14ac:dyDescent="0.35">
      <c r="E45" s="1504" t="s">
        <v>67</v>
      </c>
      <c r="F45" s="1504"/>
      <c r="G45" s="448"/>
      <c r="H45" s="543"/>
      <c r="I45" s="541"/>
      <c r="J45" s="872"/>
      <c r="K45" s="293"/>
    </row>
    <row r="46" spans="1:196" ht="42" thickBot="1" x14ac:dyDescent="0.3">
      <c r="A46" s="922"/>
      <c r="B46" s="922"/>
      <c r="E46" s="112" t="s">
        <v>0</v>
      </c>
      <c r="F46" s="113" t="s">
        <v>1</v>
      </c>
      <c r="G46" s="2">
        <v>2022</v>
      </c>
      <c r="H46" s="282">
        <v>2023</v>
      </c>
      <c r="I46" s="282" t="s">
        <v>196</v>
      </c>
      <c r="J46" s="412" t="s">
        <v>195</v>
      </c>
      <c r="K46" s="416"/>
      <c r="M46" s="1111" t="s">
        <v>153</v>
      </c>
      <c r="N46" s="1111" t="s">
        <v>1158</v>
      </c>
      <c r="O46" t="s">
        <v>1439</v>
      </c>
    </row>
    <row r="47" spans="1:196" s="343" customFormat="1" ht="13.8" x14ac:dyDescent="0.25">
      <c r="A47" s="1407">
        <v>13057027.061270377</v>
      </c>
      <c r="B47" s="1407">
        <v>14694020.272092994</v>
      </c>
      <c r="C47" s="1407">
        <f>B47-H47</f>
        <v>-219099.81020654738</v>
      </c>
      <c r="D47" s="1407"/>
      <c r="E47" s="338"/>
      <c r="F47" s="339" t="s">
        <v>228</v>
      </c>
      <c r="G47" s="340">
        <v>13062838.284647748</v>
      </c>
      <c r="H47" s="340">
        <v>14913120.082299542</v>
      </c>
      <c r="I47" s="341">
        <f t="shared" ref="I47:I113" si="4">H47-G47</f>
        <v>1850281.7976517938</v>
      </c>
      <c r="J47" s="873">
        <f>IFERROR(I47/G47,"-")</f>
        <v>0.14164469905643393</v>
      </c>
      <c r="K47" s="425"/>
      <c r="L47" s="470"/>
      <c r="M47" s="1125" t="s">
        <v>228</v>
      </c>
      <c r="N47" s="1408">
        <v>14974586.383002941</v>
      </c>
      <c r="O47" s="1119">
        <f>N47-H47</f>
        <v>61466.300703398883</v>
      </c>
      <c r="P47" s="925" t="s">
        <v>1446</v>
      </c>
      <c r="Q47" s="924"/>
      <c r="R47" s="924"/>
      <c r="S47" s="924"/>
      <c r="T47" s="924"/>
      <c r="U47" s="924"/>
      <c r="V47" s="924"/>
      <c r="W47" s="924"/>
      <c r="X47" s="924"/>
      <c r="Y47" s="924"/>
      <c r="Z47" s="924"/>
      <c r="AA47" s="924"/>
      <c r="AB47" s="924"/>
      <c r="AC47" s="924"/>
      <c r="AD47" s="924"/>
      <c r="AE47" s="924"/>
      <c r="AF47" s="924"/>
      <c r="AG47" s="924"/>
      <c r="AH47" s="924"/>
      <c r="AI47" s="924"/>
      <c r="AJ47" s="924"/>
      <c r="AK47" s="924"/>
      <c r="AL47" s="924"/>
      <c r="AM47" s="924"/>
      <c r="AN47" s="924"/>
      <c r="AO47" s="924"/>
      <c r="AP47" s="924"/>
      <c r="AQ47" s="924"/>
      <c r="AR47" s="924"/>
      <c r="AS47" s="924"/>
      <c r="AT47" s="924"/>
      <c r="AU47" s="924"/>
      <c r="AV47" s="924"/>
      <c r="AW47" s="924"/>
      <c r="AX47" s="924"/>
      <c r="AY47" s="924"/>
      <c r="AZ47" s="924"/>
      <c r="BA47" s="924"/>
      <c r="BB47" s="924"/>
      <c r="BC47" s="924"/>
      <c r="BD47" s="924"/>
      <c r="BE47" s="924"/>
      <c r="BF47" s="924"/>
      <c r="BG47" s="924"/>
      <c r="BH47" s="924"/>
      <c r="BI47" s="924"/>
      <c r="BJ47" s="924"/>
      <c r="BK47" s="924"/>
      <c r="BL47" s="924"/>
      <c r="BM47" s="924"/>
      <c r="BN47" s="924"/>
      <c r="BO47" s="924"/>
      <c r="BP47" s="924"/>
      <c r="BQ47" s="924"/>
      <c r="BR47" s="924"/>
      <c r="BS47" s="924"/>
      <c r="BT47" s="924"/>
      <c r="BU47" s="924"/>
      <c r="BV47" s="924"/>
      <c r="BW47" s="924"/>
      <c r="BX47" s="924"/>
      <c r="BY47" s="924"/>
      <c r="BZ47" s="924"/>
      <c r="CA47" s="924"/>
      <c r="CB47" s="924"/>
      <c r="CC47" s="924"/>
      <c r="CD47" s="924"/>
      <c r="CE47" s="924"/>
      <c r="CF47" s="924"/>
      <c r="CG47" s="924"/>
      <c r="CH47" s="924"/>
      <c r="CI47" s="924"/>
      <c r="CJ47" s="924"/>
      <c r="CK47" s="924"/>
      <c r="CL47" s="924"/>
      <c r="CM47" s="924"/>
      <c r="CN47" s="924"/>
      <c r="CO47" s="924"/>
      <c r="CP47" s="924"/>
      <c r="CQ47" s="924"/>
      <c r="CR47" s="924"/>
      <c r="CS47" s="924"/>
      <c r="CT47" s="924"/>
      <c r="CU47" s="924"/>
      <c r="CV47" s="924"/>
      <c r="CW47" s="924"/>
      <c r="CX47" s="924"/>
      <c r="CY47" s="924"/>
      <c r="CZ47" s="924"/>
      <c r="DA47" s="924"/>
      <c r="DB47" s="924"/>
      <c r="DC47" s="924"/>
      <c r="DD47" s="924"/>
      <c r="DE47" s="924"/>
      <c r="DF47" s="924"/>
      <c r="DG47" s="924"/>
      <c r="DH47" s="924"/>
      <c r="DI47" s="924"/>
      <c r="DJ47" s="924"/>
      <c r="DK47" s="924"/>
      <c r="DL47" s="924"/>
      <c r="DM47" s="924"/>
      <c r="DN47" s="924"/>
      <c r="DO47" s="924"/>
      <c r="DP47" s="924"/>
      <c r="DQ47" s="924"/>
      <c r="DR47" s="924"/>
      <c r="DS47" s="924"/>
      <c r="DT47" s="924"/>
      <c r="DU47" s="924"/>
      <c r="DV47" s="924"/>
      <c r="DW47" s="924"/>
      <c r="DX47" s="924"/>
      <c r="DY47" s="924"/>
      <c r="DZ47" s="924"/>
      <c r="EA47" s="924"/>
      <c r="EB47" s="924"/>
      <c r="EC47" s="924"/>
      <c r="ED47" s="924"/>
      <c r="EE47" s="924"/>
      <c r="EF47" s="924"/>
      <c r="EG47" s="924"/>
      <c r="EH47" s="924"/>
      <c r="EI47" s="924"/>
      <c r="EJ47" s="924"/>
      <c r="EK47" s="924"/>
      <c r="EL47" s="924"/>
      <c r="EM47" s="924"/>
      <c r="EN47" s="924"/>
      <c r="EO47" s="924"/>
      <c r="EP47" s="924"/>
      <c r="EQ47" s="924"/>
      <c r="ER47" s="924"/>
      <c r="ES47" s="924"/>
      <c r="ET47" s="924"/>
      <c r="EU47" s="924"/>
      <c r="EV47" s="924"/>
      <c r="EW47" s="924"/>
      <c r="EX47" s="924"/>
      <c r="EY47" s="924"/>
      <c r="EZ47" s="924"/>
      <c r="FA47" s="924"/>
      <c r="FB47" s="924"/>
      <c r="FC47" s="924"/>
      <c r="FD47" s="924"/>
      <c r="FE47" s="924"/>
      <c r="FF47" s="924"/>
      <c r="FG47" s="924"/>
      <c r="FH47" s="924"/>
      <c r="FI47" s="924"/>
      <c r="FJ47" s="924"/>
      <c r="FK47" s="924"/>
      <c r="FL47" s="924"/>
      <c r="FM47" s="924"/>
      <c r="FN47" s="924"/>
      <c r="FO47" s="924"/>
      <c r="FP47" s="924"/>
      <c r="FQ47" s="924"/>
      <c r="FR47" s="924"/>
      <c r="FS47" s="924"/>
      <c r="FT47" s="924"/>
      <c r="FU47" s="924"/>
      <c r="FV47" s="924"/>
      <c r="FW47" s="924"/>
      <c r="FX47" s="924"/>
      <c r="FY47" s="924"/>
      <c r="FZ47" s="924"/>
      <c r="GA47" s="924"/>
      <c r="GB47" s="924"/>
      <c r="GC47" s="924"/>
      <c r="GD47" s="924"/>
      <c r="GE47" s="924"/>
      <c r="GF47" s="924"/>
      <c r="GG47" s="924"/>
      <c r="GH47" s="924"/>
      <c r="GI47" s="924"/>
      <c r="GJ47" s="924"/>
      <c r="GK47" s="924"/>
      <c r="GL47" s="924"/>
      <c r="GM47" s="924"/>
      <c r="GN47" s="924"/>
    </row>
    <row r="48" spans="1:196" s="343" customFormat="1" ht="13.8" x14ac:dyDescent="0.25">
      <c r="A48" s="1407">
        <v>13364758.090435032</v>
      </c>
      <c r="B48" s="1407">
        <v>14443465.9936</v>
      </c>
      <c r="C48" s="1407">
        <f t="shared" ref="C48:C56" si="5">B48-H48</f>
        <v>189765.4694750011</v>
      </c>
      <c r="D48" s="1407"/>
      <c r="E48" s="344"/>
      <c r="F48" s="345" t="s">
        <v>198</v>
      </c>
      <c r="G48" s="340">
        <v>10112123.773568364</v>
      </c>
      <c r="H48" s="340">
        <v>14253700.524124999</v>
      </c>
      <c r="I48" s="341">
        <f t="shared" si="4"/>
        <v>4141576.7505566347</v>
      </c>
      <c r="J48" s="873">
        <f t="shared" ref="J48:J113" si="6">IFERROR(I48/G48,"-")</f>
        <v>0.40956547242648672</v>
      </c>
      <c r="K48" s="424"/>
      <c r="L48" s="470"/>
      <c r="M48" s="1125" t="s">
        <v>182</v>
      </c>
      <c r="N48" s="1408">
        <v>6252811.5303919995</v>
      </c>
      <c r="O48" s="1119">
        <f>N48-H53</f>
        <v>-843821.78410402313</v>
      </c>
      <c r="P48" s="925" t="s">
        <v>1441</v>
      </c>
      <c r="Q48" s="924"/>
      <c r="R48" s="924"/>
      <c r="S48" s="924"/>
      <c r="T48" s="924"/>
      <c r="U48" s="924"/>
      <c r="V48" s="924"/>
      <c r="W48" s="924"/>
      <c r="X48" s="924"/>
      <c r="Y48" s="924"/>
      <c r="Z48" s="924"/>
      <c r="AA48" s="924"/>
      <c r="AB48" s="924"/>
      <c r="AC48" s="924"/>
      <c r="AD48" s="924"/>
      <c r="AE48" s="924"/>
      <c r="AF48" s="924"/>
      <c r="AG48" s="924"/>
      <c r="AH48" s="924"/>
      <c r="AI48" s="924"/>
      <c r="AJ48" s="924"/>
      <c r="AK48" s="924"/>
      <c r="AL48" s="924"/>
      <c r="AM48" s="924"/>
      <c r="AN48" s="924"/>
      <c r="AO48" s="924"/>
      <c r="AP48" s="924"/>
      <c r="AQ48" s="924"/>
      <c r="AR48" s="924"/>
      <c r="AS48" s="924"/>
      <c r="AT48" s="924"/>
      <c r="AU48" s="924"/>
      <c r="AV48" s="924"/>
      <c r="AW48" s="924"/>
      <c r="AX48" s="924"/>
      <c r="AY48" s="924"/>
      <c r="AZ48" s="924"/>
      <c r="BA48" s="924"/>
      <c r="BB48" s="924"/>
      <c r="BC48" s="924"/>
      <c r="BD48" s="924"/>
      <c r="BE48" s="924"/>
      <c r="BF48" s="924"/>
      <c r="BG48" s="924"/>
      <c r="BH48" s="924"/>
      <c r="BI48" s="924"/>
      <c r="BJ48" s="924"/>
      <c r="BK48" s="924"/>
      <c r="BL48" s="924"/>
      <c r="BM48" s="924"/>
      <c r="BN48" s="924"/>
      <c r="BO48" s="924"/>
      <c r="BP48" s="924"/>
      <c r="BQ48" s="924"/>
      <c r="BR48" s="924"/>
      <c r="BS48" s="924"/>
      <c r="BT48" s="924"/>
      <c r="BU48" s="924"/>
      <c r="BV48" s="924"/>
      <c r="BW48" s="924"/>
      <c r="BX48" s="924"/>
      <c r="BY48" s="924"/>
      <c r="BZ48" s="924"/>
      <c r="CA48" s="924"/>
      <c r="CB48" s="924"/>
      <c r="CC48" s="924"/>
      <c r="CD48" s="924"/>
      <c r="CE48" s="924"/>
      <c r="CF48" s="924"/>
      <c r="CG48" s="924"/>
      <c r="CH48" s="924"/>
      <c r="CI48" s="924"/>
      <c r="CJ48" s="924"/>
      <c r="CK48" s="924"/>
      <c r="CL48" s="924"/>
      <c r="CM48" s="924"/>
      <c r="CN48" s="924"/>
      <c r="CO48" s="924"/>
      <c r="CP48" s="924"/>
      <c r="CQ48" s="924"/>
      <c r="CR48" s="924"/>
      <c r="CS48" s="924"/>
      <c r="CT48" s="924"/>
      <c r="CU48" s="924"/>
      <c r="CV48" s="924"/>
      <c r="CW48" s="924"/>
      <c r="CX48" s="924"/>
      <c r="CY48" s="924"/>
      <c r="CZ48" s="924"/>
      <c r="DA48" s="924"/>
      <c r="DB48" s="924"/>
      <c r="DC48" s="924"/>
      <c r="DD48" s="924"/>
      <c r="DE48" s="924"/>
      <c r="DF48" s="924"/>
      <c r="DG48" s="924"/>
      <c r="DH48" s="924"/>
      <c r="DI48" s="924"/>
      <c r="DJ48" s="924"/>
      <c r="DK48" s="924"/>
      <c r="DL48" s="924"/>
      <c r="DM48" s="924"/>
      <c r="DN48" s="924"/>
      <c r="DO48" s="924"/>
      <c r="DP48" s="924"/>
      <c r="DQ48" s="924"/>
      <c r="DR48" s="924"/>
      <c r="DS48" s="924"/>
      <c r="DT48" s="924"/>
      <c r="DU48" s="924"/>
      <c r="DV48" s="924"/>
      <c r="DW48" s="924"/>
      <c r="DX48" s="924"/>
      <c r="DY48" s="924"/>
      <c r="DZ48" s="924"/>
      <c r="EA48" s="924"/>
      <c r="EB48" s="924"/>
      <c r="EC48" s="924"/>
      <c r="ED48" s="924"/>
      <c r="EE48" s="924"/>
      <c r="EF48" s="924"/>
      <c r="EG48" s="924"/>
      <c r="EH48" s="924"/>
      <c r="EI48" s="924"/>
      <c r="EJ48" s="924"/>
      <c r="EK48" s="924"/>
      <c r="EL48" s="924"/>
      <c r="EM48" s="924"/>
      <c r="EN48" s="924"/>
      <c r="EO48" s="924"/>
      <c r="EP48" s="924"/>
      <c r="EQ48" s="924"/>
      <c r="ER48" s="924"/>
      <c r="ES48" s="924"/>
      <c r="ET48" s="924"/>
      <c r="EU48" s="924"/>
      <c r="EV48" s="924"/>
      <c r="EW48" s="924"/>
      <c r="EX48" s="924"/>
      <c r="EY48" s="924"/>
      <c r="EZ48" s="924"/>
      <c r="FA48" s="924"/>
      <c r="FB48" s="924"/>
      <c r="FC48" s="924"/>
      <c r="FD48" s="924"/>
      <c r="FE48" s="924"/>
      <c r="FF48" s="924"/>
      <c r="FG48" s="924"/>
      <c r="FH48" s="924"/>
      <c r="FI48" s="924"/>
      <c r="FJ48" s="924"/>
      <c r="FK48" s="924"/>
      <c r="FL48" s="924"/>
      <c r="FM48" s="924"/>
      <c r="FN48" s="924"/>
      <c r="FO48" s="924"/>
      <c r="FP48" s="924"/>
      <c r="FQ48" s="924"/>
      <c r="FR48" s="924"/>
      <c r="FS48" s="924"/>
      <c r="FT48" s="924"/>
      <c r="FU48" s="924"/>
      <c r="FV48" s="924"/>
      <c r="FW48" s="924"/>
      <c r="FX48" s="924"/>
      <c r="FY48" s="924"/>
      <c r="FZ48" s="924"/>
      <c r="GA48" s="924"/>
      <c r="GB48" s="924"/>
      <c r="GC48" s="924"/>
      <c r="GD48" s="924"/>
      <c r="GE48" s="924"/>
      <c r="GF48" s="924"/>
      <c r="GG48" s="924"/>
      <c r="GH48" s="924"/>
      <c r="GI48" s="924"/>
      <c r="GJ48" s="924"/>
      <c r="GK48" s="924"/>
      <c r="GL48" s="924"/>
      <c r="GM48" s="924"/>
      <c r="GN48" s="924"/>
    </row>
    <row r="49" spans="1:196" s="343" customFormat="1" ht="13.8" x14ac:dyDescent="0.25">
      <c r="A49" s="1407">
        <v>261271</v>
      </c>
      <c r="B49" s="1407">
        <v>273315.12400000001</v>
      </c>
      <c r="C49" s="1407">
        <f t="shared" si="5"/>
        <v>-30459</v>
      </c>
      <c r="D49" s="1407"/>
      <c r="E49" s="338"/>
      <c r="F49" s="339" t="s">
        <v>197</v>
      </c>
      <c r="G49" s="340">
        <v>270979</v>
      </c>
      <c r="H49" s="340">
        <v>303774.12400000001</v>
      </c>
      <c r="I49" s="341">
        <f t="shared" si="4"/>
        <v>32795.124000000011</v>
      </c>
      <c r="J49" s="873">
        <f t="shared" si="6"/>
        <v>0.12102459600190425</v>
      </c>
      <c r="K49" s="424"/>
      <c r="L49" s="470"/>
      <c r="M49" s="1125" t="s">
        <v>554</v>
      </c>
      <c r="N49" s="1408">
        <v>14136475.443425</v>
      </c>
      <c r="O49" s="1119">
        <f>N49+N59-H48</f>
        <v>442951.91930000111</v>
      </c>
      <c r="P49" s="925" t="s">
        <v>1444</v>
      </c>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c r="AP49" s="924"/>
      <c r="AQ49" s="924"/>
      <c r="AR49" s="924"/>
      <c r="AS49" s="924"/>
      <c r="AT49" s="924"/>
      <c r="AU49" s="924"/>
      <c r="AV49" s="924"/>
      <c r="AW49" s="924"/>
      <c r="AX49" s="924"/>
      <c r="AY49" s="924"/>
      <c r="AZ49" s="924"/>
      <c r="BA49" s="924"/>
      <c r="BB49" s="924"/>
      <c r="BC49" s="924"/>
      <c r="BD49" s="924"/>
      <c r="BE49" s="924"/>
      <c r="BF49" s="924"/>
      <c r="BG49" s="924"/>
      <c r="BH49" s="924"/>
      <c r="BI49" s="924"/>
      <c r="BJ49" s="924"/>
      <c r="BK49" s="924"/>
      <c r="BL49" s="924"/>
      <c r="BM49" s="924"/>
      <c r="BN49" s="924"/>
      <c r="BO49" s="924"/>
      <c r="BP49" s="924"/>
      <c r="BQ49" s="924"/>
      <c r="BR49" s="924"/>
      <c r="BS49" s="924"/>
      <c r="BT49" s="924"/>
      <c r="BU49" s="924"/>
      <c r="BV49" s="924"/>
      <c r="BW49" s="924"/>
      <c r="BX49" s="924"/>
      <c r="BY49" s="924"/>
      <c r="BZ49" s="924"/>
      <c r="CA49" s="924"/>
      <c r="CB49" s="924"/>
      <c r="CC49" s="924"/>
      <c r="CD49" s="924"/>
      <c r="CE49" s="924"/>
      <c r="CF49" s="924"/>
      <c r="CG49" s="924"/>
      <c r="CH49" s="924"/>
      <c r="CI49" s="924"/>
      <c r="CJ49" s="924"/>
      <c r="CK49" s="924"/>
      <c r="CL49" s="924"/>
      <c r="CM49" s="924"/>
      <c r="CN49" s="924"/>
      <c r="CO49" s="924"/>
      <c r="CP49" s="924"/>
      <c r="CQ49" s="924"/>
      <c r="CR49" s="924"/>
      <c r="CS49" s="924"/>
      <c r="CT49" s="924"/>
      <c r="CU49" s="924"/>
      <c r="CV49" s="924"/>
      <c r="CW49" s="924"/>
      <c r="CX49" s="924"/>
      <c r="CY49" s="924"/>
      <c r="CZ49" s="924"/>
      <c r="DA49" s="924"/>
      <c r="DB49" s="924"/>
      <c r="DC49" s="924"/>
      <c r="DD49" s="924"/>
      <c r="DE49" s="924"/>
      <c r="DF49" s="924"/>
      <c r="DG49" s="924"/>
      <c r="DH49" s="924"/>
      <c r="DI49" s="924"/>
      <c r="DJ49" s="924"/>
      <c r="DK49" s="924"/>
      <c r="DL49" s="924"/>
      <c r="DM49" s="924"/>
      <c r="DN49" s="924"/>
      <c r="DO49" s="924"/>
      <c r="DP49" s="924"/>
      <c r="DQ49" s="924"/>
      <c r="DR49" s="924"/>
      <c r="DS49" s="924"/>
      <c r="DT49" s="924"/>
      <c r="DU49" s="924"/>
      <c r="DV49" s="924"/>
      <c r="DW49" s="924"/>
      <c r="DX49" s="924"/>
      <c r="DY49" s="924"/>
      <c r="DZ49" s="924"/>
      <c r="EA49" s="924"/>
      <c r="EB49" s="924"/>
      <c r="EC49" s="924"/>
      <c r="ED49" s="924"/>
      <c r="EE49" s="924"/>
      <c r="EF49" s="924"/>
      <c r="EG49" s="924"/>
      <c r="EH49" s="924"/>
      <c r="EI49" s="924"/>
      <c r="EJ49" s="924"/>
      <c r="EK49" s="924"/>
      <c r="EL49" s="924"/>
      <c r="EM49" s="924"/>
      <c r="EN49" s="924"/>
      <c r="EO49" s="924"/>
      <c r="EP49" s="924"/>
      <c r="EQ49" s="924"/>
      <c r="ER49" s="924"/>
      <c r="ES49" s="924"/>
      <c r="ET49" s="924"/>
      <c r="EU49" s="924"/>
      <c r="EV49" s="924"/>
      <c r="EW49" s="924"/>
      <c r="EX49" s="924"/>
      <c r="EY49" s="924"/>
      <c r="EZ49" s="924"/>
      <c r="FA49" s="924"/>
      <c r="FB49" s="924"/>
      <c r="FC49" s="924"/>
      <c r="FD49" s="924"/>
      <c r="FE49" s="924"/>
      <c r="FF49" s="924"/>
      <c r="FG49" s="924"/>
      <c r="FH49" s="924"/>
      <c r="FI49" s="924"/>
      <c r="FJ49" s="924"/>
      <c r="FK49" s="924"/>
      <c r="FL49" s="924"/>
      <c r="FM49" s="924"/>
      <c r="FN49" s="924"/>
      <c r="FO49" s="924"/>
      <c r="FP49" s="924"/>
      <c r="FQ49" s="924"/>
      <c r="FR49" s="924"/>
      <c r="FS49" s="924"/>
      <c r="FT49" s="924"/>
      <c r="FU49" s="924"/>
      <c r="FV49" s="924"/>
      <c r="FW49" s="924"/>
      <c r="FX49" s="924"/>
      <c r="FY49" s="924"/>
      <c r="FZ49" s="924"/>
      <c r="GA49" s="924"/>
      <c r="GB49" s="924"/>
      <c r="GC49" s="924"/>
      <c r="GD49" s="924"/>
      <c r="GE49" s="924"/>
      <c r="GF49" s="924"/>
      <c r="GG49" s="924"/>
      <c r="GH49" s="924"/>
      <c r="GI49" s="924"/>
      <c r="GJ49" s="924"/>
      <c r="GK49" s="924"/>
      <c r="GL49" s="924"/>
      <c r="GM49" s="924"/>
      <c r="GN49" s="924"/>
    </row>
    <row r="50" spans="1:196" s="333" customFormat="1" ht="13.8" x14ac:dyDescent="0.25">
      <c r="A50" s="1407">
        <v>159368.9074545709</v>
      </c>
      <c r="B50" s="1407">
        <v>828154.00485180388</v>
      </c>
      <c r="C50" s="1407">
        <f t="shared" si="5"/>
        <v>-219185.15909667965</v>
      </c>
      <c r="D50" s="1407"/>
      <c r="E50" s="335"/>
      <c r="F50" s="336" t="s">
        <v>662</v>
      </c>
      <c r="G50" s="337">
        <v>159368.9074545709</v>
      </c>
      <c r="H50" s="337">
        <v>1047339.1639484835</v>
      </c>
      <c r="I50" s="330">
        <f t="shared" si="4"/>
        <v>887970.25649391266</v>
      </c>
      <c r="J50" s="874">
        <f t="shared" si="6"/>
        <v>5.5717910769202836</v>
      </c>
      <c r="K50" s="426"/>
      <c r="L50" s="470"/>
      <c r="M50" s="1125" t="s">
        <v>556</v>
      </c>
      <c r="N50" s="1408">
        <v>297774.12399999995</v>
      </c>
      <c r="O50" s="1119">
        <f>N50-H49</f>
        <v>-6000.0000000000582</v>
      </c>
      <c r="P50" s="925"/>
      <c r="Q50" s="925"/>
      <c r="R50" s="925"/>
      <c r="S50" s="925"/>
      <c r="T50" s="925"/>
      <c r="U50" s="925"/>
      <c r="V50" s="925"/>
      <c r="W50" s="925"/>
      <c r="X50" s="925"/>
      <c r="Y50" s="925"/>
      <c r="Z50" s="925"/>
      <c r="AA50" s="925"/>
      <c r="AB50" s="925"/>
      <c r="AC50" s="925"/>
      <c r="AD50" s="925"/>
      <c r="AE50" s="925"/>
      <c r="AF50" s="925"/>
      <c r="AG50" s="925"/>
      <c r="AH50" s="925"/>
      <c r="AI50" s="925"/>
      <c r="AJ50" s="925"/>
      <c r="AK50" s="925"/>
      <c r="AL50" s="925"/>
      <c r="AM50" s="925"/>
      <c r="AN50" s="925"/>
      <c r="AO50" s="925"/>
      <c r="AP50" s="925"/>
      <c r="AQ50" s="925"/>
      <c r="AR50" s="925"/>
      <c r="AS50" s="925"/>
      <c r="AT50" s="925"/>
      <c r="AU50" s="925"/>
      <c r="AV50" s="925"/>
      <c r="AW50" s="925"/>
      <c r="AX50" s="925"/>
      <c r="AY50" s="925"/>
      <c r="AZ50" s="925"/>
      <c r="BA50" s="925"/>
      <c r="BB50" s="925"/>
      <c r="BC50" s="925"/>
      <c r="BD50" s="925"/>
      <c r="BE50" s="925"/>
      <c r="BF50" s="925"/>
      <c r="BG50" s="925"/>
      <c r="BH50" s="925"/>
      <c r="BI50" s="925"/>
      <c r="BJ50" s="925"/>
      <c r="BK50" s="925"/>
      <c r="BL50" s="925"/>
      <c r="BM50" s="925"/>
      <c r="BN50" s="925"/>
      <c r="BO50" s="925"/>
      <c r="BP50" s="925"/>
      <c r="BQ50" s="925"/>
      <c r="BR50" s="925"/>
      <c r="BS50" s="925"/>
      <c r="BT50" s="925"/>
      <c r="BU50" s="925"/>
      <c r="BV50" s="925"/>
      <c r="BW50" s="925"/>
      <c r="BX50" s="925"/>
      <c r="BY50" s="925"/>
      <c r="BZ50" s="925"/>
      <c r="CA50" s="925"/>
      <c r="CB50" s="925"/>
      <c r="CC50" s="925"/>
      <c r="CD50" s="925"/>
      <c r="CE50" s="925"/>
      <c r="CF50" s="925"/>
      <c r="CG50" s="925"/>
      <c r="CH50" s="925"/>
      <c r="CI50" s="925"/>
      <c r="CJ50" s="925"/>
      <c r="CK50" s="925"/>
      <c r="CL50" s="925"/>
      <c r="CM50" s="925"/>
      <c r="CN50" s="925"/>
      <c r="CO50" s="925"/>
      <c r="CP50" s="925"/>
      <c r="CQ50" s="925"/>
      <c r="CR50" s="925"/>
      <c r="CS50" s="925"/>
      <c r="CT50" s="925"/>
      <c r="CU50" s="925"/>
      <c r="CV50" s="925"/>
      <c r="CW50" s="925"/>
      <c r="CX50" s="925"/>
      <c r="CY50" s="925"/>
      <c r="CZ50" s="925"/>
      <c r="DA50" s="925"/>
      <c r="DB50" s="925"/>
      <c r="DC50" s="925"/>
      <c r="DD50" s="925"/>
      <c r="DE50" s="925"/>
      <c r="DF50" s="925"/>
      <c r="DG50" s="925"/>
      <c r="DH50" s="925"/>
      <c r="DI50" s="925"/>
      <c r="DJ50" s="925"/>
      <c r="DK50" s="925"/>
      <c r="DL50" s="925"/>
      <c r="DM50" s="925"/>
      <c r="DN50" s="925"/>
      <c r="DO50" s="925"/>
      <c r="DP50" s="925"/>
      <c r="DQ50" s="925"/>
      <c r="DR50" s="925"/>
      <c r="DS50" s="925"/>
      <c r="DT50" s="925"/>
      <c r="DU50" s="925"/>
      <c r="DV50" s="925"/>
      <c r="DW50" s="925"/>
      <c r="DX50" s="925"/>
      <c r="DY50" s="925"/>
      <c r="DZ50" s="925"/>
      <c r="EA50" s="925"/>
      <c r="EB50" s="925"/>
      <c r="EC50" s="925"/>
      <c r="ED50" s="925"/>
      <c r="EE50" s="925"/>
      <c r="EF50" s="925"/>
      <c r="EG50" s="925"/>
      <c r="EH50" s="925"/>
      <c r="EI50" s="925"/>
      <c r="EJ50" s="925"/>
      <c r="EK50" s="925"/>
      <c r="EL50" s="925"/>
      <c r="EM50" s="925"/>
      <c r="EN50" s="925"/>
      <c r="EO50" s="925"/>
      <c r="EP50" s="925"/>
      <c r="EQ50" s="925"/>
      <c r="ER50" s="925"/>
      <c r="ES50" s="925"/>
      <c r="ET50" s="925"/>
      <c r="EU50" s="925"/>
      <c r="EV50" s="925"/>
      <c r="EW50" s="925"/>
      <c r="EX50" s="925"/>
      <c r="EY50" s="925"/>
      <c r="EZ50" s="925"/>
      <c r="FA50" s="925"/>
      <c r="FB50" s="925"/>
      <c r="FC50" s="925"/>
      <c r="FD50" s="925"/>
      <c r="FE50" s="925"/>
      <c r="FF50" s="925"/>
      <c r="FG50" s="925"/>
      <c r="FH50" s="925"/>
      <c r="FI50" s="925"/>
      <c r="FJ50" s="925"/>
      <c r="FK50" s="925"/>
      <c r="FL50" s="925"/>
      <c r="FM50" s="925"/>
      <c r="FN50" s="925"/>
      <c r="FO50" s="925"/>
      <c r="FP50" s="925"/>
      <c r="FQ50" s="925"/>
      <c r="FR50" s="925"/>
      <c r="FS50" s="925"/>
      <c r="FT50" s="925"/>
      <c r="FU50" s="925"/>
      <c r="FV50" s="925"/>
      <c r="FW50" s="925"/>
      <c r="FX50" s="925"/>
      <c r="FY50" s="925"/>
      <c r="FZ50" s="925"/>
      <c r="GA50" s="925"/>
      <c r="GB50" s="925"/>
      <c r="GC50" s="925"/>
      <c r="GD50" s="925"/>
      <c r="GE50" s="925"/>
      <c r="GF50" s="925"/>
      <c r="GG50" s="925"/>
      <c r="GH50" s="925"/>
      <c r="GI50" s="925"/>
      <c r="GJ50" s="925"/>
      <c r="GK50" s="925"/>
      <c r="GL50" s="925"/>
      <c r="GM50" s="925"/>
      <c r="GN50" s="925"/>
    </row>
    <row r="51" spans="1:196" s="333" customFormat="1" ht="13.8" x14ac:dyDescent="0.25">
      <c r="A51" s="1407">
        <v>5559028.4186893003</v>
      </c>
      <c r="B51" s="1407">
        <v>5558962.4186893003</v>
      </c>
      <c r="C51" s="1407">
        <f t="shared" si="5"/>
        <v>1166296.4186893003</v>
      </c>
      <c r="D51" s="1407"/>
      <c r="E51" s="471"/>
      <c r="F51" s="472" t="s">
        <v>80</v>
      </c>
      <c r="G51" s="473">
        <v>5842912</v>
      </c>
      <c r="H51" s="473">
        <v>4392666</v>
      </c>
      <c r="I51" s="330">
        <f t="shared" si="4"/>
        <v>-1450246</v>
      </c>
      <c r="J51" s="874">
        <f t="shared" si="6"/>
        <v>-0.24820603151305376</v>
      </c>
      <c r="K51" s="474"/>
      <c r="L51" s="470"/>
      <c r="M51" s="1125" t="s">
        <v>621</v>
      </c>
      <c r="N51" s="1408">
        <v>286732.36</v>
      </c>
      <c r="O51" s="1119"/>
      <c r="P51" s="925"/>
      <c r="Q51" s="925"/>
      <c r="R51" s="925"/>
      <c r="S51" s="925"/>
      <c r="T51" s="925"/>
      <c r="U51" s="925"/>
      <c r="V51" s="925"/>
      <c r="W51" s="925"/>
      <c r="X51" s="925"/>
      <c r="Y51" s="925"/>
      <c r="Z51" s="925"/>
      <c r="AA51" s="925"/>
      <c r="AB51" s="925"/>
      <c r="AC51" s="925"/>
      <c r="AD51" s="925"/>
      <c r="AE51" s="925"/>
      <c r="AF51" s="925"/>
      <c r="AG51" s="925"/>
      <c r="AH51" s="925"/>
      <c r="AI51" s="925"/>
      <c r="AJ51" s="925"/>
      <c r="AK51" s="925"/>
      <c r="AL51" s="925"/>
      <c r="AM51" s="925"/>
      <c r="AN51" s="925"/>
      <c r="AO51" s="925"/>
      <c r="AP51" s="925"/>
      <c r="AQ51" s="925"/>
      <c r="AR51" s="925"/>
      <c r="AS51" s="925"/>
      <c r="AT51" s="925"/>
      <c r="AU51" s="925"/>
      <c r="AV51" s="925"/>
      <c r="AW51" s="925"/>
      <c r="AX51" s="925"/>
      <c r="AY51" s="925"/>
      <c r="AZ51" s="925"/>
      <c r="BA51" s="925"/>
      <c r="BB51" s="925"/>
      <c r="BC51" s="925"/>
      <c r="BD51" s="925"/>
      <c r="BE51" s="925"/>
      <c r="BF51" s="925"/>
      <c r="BG51" s="925"/>
      <c r="BH51" s="925"/>
      <c r="BI51" s="925"/>
      <c r="BJ51" s="925"/>
      <c r="BK51" s="925"/>
      <c r="BL51" s="925"/>
      <c r="BM51" s="925"/>
      <c r="BN51" s="925"/>
      <c r="BO51" s="925"/>
      <c r="BP51" s="925"/>
      <c r="BQ51" s="925"/>
      <c r="BR51" s="925"/>
      <c r="BS51" s="925"/>
      <c r="BT51" s="925"/>
      <c r="BU51" s="925"/>
      <c r="BV51" s="925"/>
      <c r="BW51" s="925"/>
      <c r="BX51" s="925"/>
      <c r="BY51" s="925"/>
      <c r="BZ51" s="925"/>
      <c r="CA51" s="925"/>
      <c r="CB51" s="925"/>
      <c r="CC51" s="925"/>
      <c r="CD51" s="925"/>
      <c r="CE51" s="925"/>
      <c r="CF51" s="925"/>
      <c r="CG51" s="925"/>
      <c r="CH51" s="925"/>
      <c r="CI51" s="925"/>
      <c r="CJ51" s="925"/>
      <c r="CK51" s="925"/>
      <c r="CL51" s="925"/>
      <c r="CM51" s="925"/>
      <c r="CN51" s="925"/>
      <c r="CO51" s="925"/>
      <c r="CP51" s="925"/>
      <c r="CQ51" s="925"/>
      <c r="CR51" s="925"/>
      <c r="CS51" s="925"/>
      <c r="CT51" s="925"/>
      <c r="CU51" s="925"/>
      <c r="CV51" s="925"/>
      <c r="CW51" s="925"/>
      <c r="CX51" s="925"/>
      <c r="CY51" s="925"/>
      <c r="CZ51" s="925"/>
      <c r="DA51" s="925"/>
      <c r="DB51" s="925"/>
      <c r="DC51" s="925"/>
      <c r="DD51" s="925"/>
      <c r="DE51" s="925"/>
      <c r="DF51" s="925"/>
      <c r="DG51" s="925"/>
      <c r="DH51" s="925"/>
      <c r="DI51" s="925"/>
      <c r="DJ51" s="925"/>
      <c r="DK51" s="925"/>
      <c r="DL51" s="925"/>
      <c r="DM51" s="925"/>
      <c r="DN51" s="925"/>
      <c r="DO51" s="925"/>
      <c r="DP51" s="925"/>
      <c r="DQ51" s="925"/>
      <c r="DR51" s="925"/>
      <c r="DS51" s="925"/>
      <c r="DT51" s="925"/>
      <c r="DU51" s="925"/>
      <c r="DV51" s="925"/>
      <c r="DW51" s="925"/>
      <c r="DX51" s="925"/>
      <c r="DY51" s="925"/>
      <c r="DZ51" s="925"/>
      <c r="EA51" s="925"/>
      <c r="EB51" s="925"/>
      <c r="EC51" s="925"/>
      <c r="ED51" s="925"/>
      <c r="EE51" s="925"/>
      <c r="EF51" s="925"/>
      <c r="EG51" s="925"/>
      <c r="EH51" s="925"/>
      <c r="EI51" s="925"/>
      <c r="EJ51" s="925"/>
      <c r="EK51" s="925"/>
      <c r="EL51" s="925"/>
      <c r="EM51" s="925"/>
      <c r="EN51" s="925"/>
      <c r="EO51" s="925"/>
      <c r="EP51" s="925"/>
      <c r="EQ51" s="925"/>
      <c r="ER51" s="925"/>
      <c r="ES51" s="925"/>
      <c r="ET51" s="925"/>
      <c r="EU51" s="925"/>
      <c r="EV51" s="925"/>
      <c r="EW51" s="925"/>
      <c r="EX51" s="925"/>
      <c r="EY51" s="925"/>
      <c r="EZ51" s="925"/>
      <c r="FA51" s="925"/>
      <c r="FB51" s="925"/>
      <c r="FC51" s="925"/>
      <c r="FD51" s="925"/>
      <c r="FE51" s="925"/>
      <c r="FF51" s="925"/>
      <c r="FG51" s="925"/>
      <c r="FH51" s="925"/>
      <c r="FI51" s="925"/>
      <c r="FJ51" s="925"/>
      <c r="FK51" s="925"/>
      <c r="FL51" s="925"/>
      <c r="FM51" s="925"/>
      <c r="FN51" s="925"/>
      <c r="FO51" s="925"/>
      <c r="FP51" s="925"/>
      <c r="FQ51" s="925"/>
      <c r="FR51" s="925"/>
      <c r="FS51" s="925"/>
      <c r="FT51" s="925"/>
      <c r="FU51" s="925"/>
      <c r="FV51" s="925"/>
      <c r="FW51" s="925"/>
      <c r="FX51" s="925"/>
      <c r="FY51" s="925"/>
      <c r="FZ51" s="925"/>
      <c r="GA51" s="925"/>
      <c r="GB51" s="925"/>
      <c r="GC51" s="925"/>
      <c r="GD51" s="925"/>
      <c r="GE51" s="925"/>
      <c r="GF51" s="925"/>
      <c r="GG51" s="925"/>
      <c r="GH51" s="925"/>
      <c r="GI51" s="925"/>
      <c r="GJ51" s="925"/>
      <c r="GK51" s="925"/>
      <c r="GL51" s="925"/>
      <c r="GM51" s="925"/>
      <c r="GN51" s="925"/>
    </row>
    <row r="52" spans="1:196" s="334" customFormat="1" ht="14.4" thickBot="1" x14ac:dyDescent="0.3">
      <c r="A52" s="1407">
        <v>1235744</v>
      </c>
      <c r="B52" s="1407">
        <v>1489746.3599999999</v>
      </c>
      <c r="C52" s="1407">
        <f t="shared" si="5"/>
        <v>285613.99999999977</v>
      </c>
      <c r="D52" s="1407"/>
      <c r="E52" s="475"/>
      <c r="F52" s="476" t="s">
        <v>186</v>
      </c>
      <c r="G52" s="477">
        <v>851604</v>
      </c>
      <c r="H52" s="477">
        <v>1204132.3600000001</v>
      </c>
      <c r="I52" s="332">
        <f t="shared" si="4"/>
        <v>352528.3600000001</v>
      </c>
      <c r="J52" s="875">
        <f t="shared" si="6"/>
        <v>0.41395808380420956</v>
      </c>
      <c r="K52" s="478"/>
      <c r="L52" s="470"/>
      <c r="M52" s="1125" t="s">
        <v>608</v>
      </c>
      <c r="N52" s="1408">
        <v>183790</v>
      </c>
      <c r="O52" s="1119">
        <f>N52+N54-H54</f>
        <v>8000</v>
      </c>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row>
    <row r="53" spans="1:196" s="525" customFormat="1" ht="13.8" hidden="1" outlineLevel="1" x14ac:dyDescent="0.25">
      <c r="A53" s="1102">
        <v>5818582.1501839999</v>
      </c>
      <c r="B53" s="1102">
        <v>5997683.4662400009</v>
      </c>
      <c r="C53" s="1102">
        <f t="shared" si="5"/>
        <v>-1098949.8482560217</v>
      </c>
      <c r="D53" s="1102"/>
      <c r="E53" s="538"/>
      <c r="F53" s="539" t="s">
        <v>360</v>
      </c>
      <c r="G53" s="512">
        <v>5849482.7901839996</v>
      </c>
      <c r="H53" s="512">
        <v>7096633.3144960226</v>
      </c>
      <c r="I53" s="510">
        <f t="shared" si="4"/>
        <v>1247150.5243120231</v>
      </c>
      <c r="J53" s="876">
        <f t="shared" si="6"/>
        <v>0.2132069738549984</v>
      </c>
      <c r="K53" s="540"/>
      <c r="L53" s="507"/>
      <c r="M53" s="409" t="s">
        <v>555</v>
      </c>
      <c r="N53" s="1409">
        <v>1765162.04</v>
      </c>
      <c r="O53" s="1410" t="e">
        <f>N53-H55</f>
        <v>#REF!</v>
      </c>
      <c r="P53" s="408" t="s">
        <v>1447</v>
      </c>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515"/>
      <c r="AP53" s="515"/>
      <c r="AQ53" s="515"/>
      <c r="AR53" s="515"/>
      <c r="AS53" s="515"/>
      <c r="AT53" s="515"/>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515"/>
      <c r="CB53" s="515"/>
      <c r="CC53" s="515"/>
      <c r="CD53" s="515"/>
      <c r="CE53" s="515"/>
      <c r="CF53" s="515"/>
      <c r="CG53" s="515"/>
      <c r="CH53" s="515"/>
      <c r="CI53" s="515"/>
      <c r="CJ53" s="515"/>
      <c r="CK53" s="515"/>
      <c r="CL53" s="515"/>
      <c r="CM53" s="515"/>
      <c r="CN53" s="515"/>
      <c r="CO53" s="515"/>
      <c r="CP53" s="515"/>
      <c r="CQ53" s="515"/>
      <c r="CR53" s="515"/>
      <c r="CS53" s="515"/>
      <c r="CT53" s="515"/>
      <c r="CU53" s="515"/>
      <c r="CV53" s="515"/>
      <c r="CW53" s="515"/>
      <c r="CX53" s="515"/>
      <c r="CY53" s="515"/>
      <c r="CZ53" s="515"/>
      <c r="DA53" s="515"/>
      <c r="DB53" s="515"/>
      <c r="DC53" s="515"/>
      <c r="DD53" s="515"/>
      <c r="DE53" s="515"/>
      <c r="DF53" s="515"/>
      <c r="DG53" s="515"/>
      <c r="DH53" s="515"/>
      <c r="DI53" s="515"/>
      <c r="DJ53" s="515"/>
      <c r="DK53" s="515"/>
      <c r="DL53" s="515"/>
      <c r="DM53" s="515"/>
      <c r="DN53" s="515"/>
      <c r="DO53" s="515"/>
      <c r="DP53" s="515"/>
      <c r="DQ53" s="515"/>
      <c r="DR53" s="515"/>
      <c r="DS53" s="515"/>
      <c r="DT53" s="515"/>
      <c r="DU53" s="515"/>
      <c r="DV53" s="515"/>
      <c r="DW53" s="515"/>
      <c r="DX53" s="515"/>
      <c r="DY53" s="515"/>
      <c r="DZ53" s="515"/>
      <c r="EA53" s="515"/>
      <c r="EB53" s="515"/>
      <c r="EC53" s="515"/>
      <c r="ED53" s="515"/>
      <c r="EE53" s="515"/>
      <c r="EF53" s="515"/>
      <c r="EG53" s="515"/>
      <c r="EH53" s="515"/>
      <c r="EI53" s="515"/>
      <c r="EJ53" s="515"/>
      <c r="EK53" s="515"/>
      <c r="EL53" s="515"/>
      <c r="EM53" s="515"/>
      <c r="EN53" s="515"/>
      <c r="EO53" s="515"/>
      <c r="EP53" s="515"/>
      <c r="EQ53" s="515"/>
      <c r="ER53" s="515"/>
      <c r="ES53" s="515"/>
      <c r="ET53" s="515"/>
      <c r="EU53" s="515"/>
      <c r="EV53" s="515"/>
      <c r="EW53" s="515"/>
      <c r="EX53" s="515"/>
      <c r="EY53" s="515"/>
      <c r="EZ53" s="515"/>
      <c r="FA53" s="515"/>
      <c r="FB53" s="515"/>
      <c r="FC53" s="515"/>
      <c r="FD53" s="515"/>
      <c r="FE53" s="515"/>
      <c r="FF53" s="515"/>
      <c r="FG53" s="515"/>
      <c r="FH53" s="515"/>
      <c r="FI53" s="515"/>
      <c r="FJ53" s="515"/>
      <c r="FK53" s="515"/>
      <c r="FL53" s="515"/>
      <c r="FM53" s="515"/>
      <c r="FN53" s="515"/>
      <c r="FO53" s="515"/>
      <c r="FP53" s="515"/>
      <c r="FQ53" s="515"/>
      <c r="FR53" s="515"/>
      <c r="FS53" s="515"/>
      <c r="FT53" s="515"/>
      <c r="FU53" s="515"/>
      <c r="FV53" s="515"/>
      <c r="FW53" s="515"/>
      <c r="FX53" s="515"/>
      <c r="FY53" s="515"/>
      <c r="FZ53" s="515"/>
      <c r="GA53" s="515"/>
      <c r="GB53" s="515"/>
      <c r="GC53" s="515"/>
      <c r="GD53" s="515"/>
      <c r="GE53" s="515"/>
      <c r="GF53" s="515"/>
      <c r="GG53" s="515"/>
      <c r="GH53" s="515"/>
      <c r="GI53" s="515"/>
      <c r="GJ53" s="515"/>
      <c r="GK53" s="515"/>
      <c r="GL53" s="515"/>
      <c r="GM53" s="515"/>
      <c r="GN53" s="515"/>
    </row>
    <row r="54" spans="1:196" s="525" customFormat="1" ht="13.8" hidden="1" outlineLevel="1" x14ac:dyDescent="0.25">
      <c r="A54" s="1102">
        <v>183161</v>
      </c>
      <c r="B54" s="1102">
        <v>488690</v>
      </c>
      <c r="C54" s="1102">
        <f t="shared" si="5"/>
        <v>155000</v>
      </c>
      <c r="D54" s="1102"/>
      <c r="E54" s="538"/>
      <c r="F54" s="539" t="s">
        <v>354</v>
      </c>
      <c r="G54" s="512">
        <v>123354</v>
      </c>
      <c r="H54" s="512">
        <v>333690</v>
      </c>
      <c r="I54" s="510">
        <f t="shared" si="4"/>
        <v>210336</v>
      </c>
      <c r="J54" s="876">
        <f t="shared" si="6"/>
        <v>1.7051413006469187</v>
      </c>
      <c r="K54" s="540"/>
      <c r="L54" s="507"/>
      <c r="M54" s="409" t="s">
        <v>354</v>
      </c>
      <c r="N54" s="1409">
        <v>157900</v>
      </c>
      <c r="O54" s="1410"/>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515"/>
      <c r="CF54" s="515"/>
      <c r="CG54" s="515"/>
      <c r="CH54" s="515"/>
      <c r="CI54" s="515"/>
      <c r="CJ54" s="515"/>
      <c r="CK54" s="515"/>
      <c r="CL54" s="515"/>
      <c r="CM54" s="515"/>
      <c r="CN54" s="515"/>
      <c r="CO54" s="515"/>
      <c r="CP54" s="515"/>
      <c r="CQ54" s="515"/>
      <c r="CR54" s="515"/>
      <c r="CS54" s="515"/>
      <c r="CT54" s="515"/>
      <c r="CU54" s="515"/>
      <c r="CV54" s="515"/>
      <c r="CW54" s="515"/>
      <c r="CX54" s="515"/>
      <c r="CY54" s="515"/>
      <c r="CZ54" s="515"/>
      <c r="DA54" s="515"/>
      <c r="DB54" s="515"/>
      <c r="DC54" s="515"/>
      <c r="DD54" s="515"/>
      <c r="DE54" s="515"/>
      <c r="DF54" s="515"/>
      <c r="DG54" s="515"/>
      <c r="DH54" s="515"/>
      <c r="DI54" s="515"/>
      <c r="DJ54" s="515"/>
      <c r="DK54" s="515"/>
      <c r="DL54" s="515"/>
      <c r="DM54" s="515"/>
      <c r="DN54" s="515"/>
      <c r="DO54" s="515"/>
      <c r="DP54" s="515"/>
      <c r="DQ54" s="515"/>
      <c r="DR54" s="515"/>
      <c r="DS54" s="515"/>
      <c r="DT54" s="515"/>
      <c r="DU54" s="515"/>
      <c r="DV54" s="515"/>
      <c r="DW54" s="515"/>
      <c r="DX54" s="515"/>
      <c r="DY54" s="515"/>
      <c r="DZ54" s="515"/>
      <c r="EA54" s="515"/>
      <c r="EB54" s="515"/>
      <c r="EC54" s="515"/>
      <c r="ED54" s="515"/>
      <c r="EE54" s="515"/>
      <c r="EF54" s="515"/>
      <c r="EG54" s="515"/>
      <c r="EH54" s="515"/>
      <c r="EI54" s="515"/>
      <c r="EJ54" s="515"/>
      <c r="EK54" s="515"/>
      <c r="EL54" s="515"/>
      <c r="EM54" s="515"/>
      <c r="EN54" s="515"/>
      <c r="EO54" s="515"/>
      <c r="EP54" s="515"/>
      <c r="EQ54" s="515"/>
      <c r="ER54" s="515"/>
      <c r="ES54" s="515"/>
      <c r="ET54" s="515"/>
      <c r="EU54" s="515"/>
      <c r="EV54" s="515"/>
      <c r="EW54" s="515"/>
      <c r="EX54" s="515"/>
      <c r="EY54" s="515"/>
      <c r="EZ54" s="515"/>
      <c r="FA54" s="515"/>
      <c r="FB54" s="515"/>
      <c r="FC54" s="515"/>
      <c r="FD54" s="515"/>
      <c r="FE54" s="515"/>
      <c r="FF54" s="515"/>
      <c r="FG54" s="515"/>
      <c r="FH54" s="515"/>
      <c r="FI54" s="515"/>
      <c r="FJ54" s="515"/>
      <c r="FK54" s="515"/>
      <c r="FL54" s="515"/>
      <c r="FM54" s="515"/>
      <c r="FN54" s="515"/>
      <c r="FO54" s="515"/>
      <c r="FP54" s="515"/>
      <c r="FQ54" s="515"/>
      <c r="FR54" s="515"/>
      <c r="FS54" s="515"/>
      <c r="FT54" s="515"/>
      <c r="FU54" s="515"/>
      <c r="FV54" s="515"/>
      <c r="FW54" s="515"/>
      <c r="FX54" s="515"/>
      <c r="FY54" s="515"/>
      <c r="FZ54" s="515"/>
      <c r="GA54" s="515"/>
      <c r="GB54" s="515"/>
      <c r="GC54" s="515"/>
      <c r="GD54" s="515"/>
      <c r="GE54" s="515"/>
      <c r="GF54" s="515"/>
      <c r="GG54" s="515"/>
      <c r="GH54" s="515"/>
      <c r="GI54" s="515"/>
      <c r="GJ54" s="515"/>
      <c r="GK54" s="515"/>
      <c r="GL54" s="515"/>
      <c r="GM54" s="515"/>
      <c r="GN54" s="515"/>
    </row>
    <row r="55" spans="1:196" s="525" customFormat="1" ht="13.8" hidden="1" outlineLevel="1" x14ac:dyDescent="0.25">
      <c r="A55" s="1102">
        <v>2540146.9125666665</v>
      </c>
      <c r="B55" s="1102">
        <v>1319228.47</v>
      </c>
      <c r="C55" s="1102" t="e">
        <f t="shared" si="5"/>
        <v>#REF!</v>
      </c>
      <c r="D55" s="1102"/>
      <c r="E55" s="538"/>
      <c r="F55" s="539" t="s">
        <v>555</v>
      </c>
      <c r="G55" s="512" t="e">
        <v>#REF!</v>
      </c>
      <c r="H55" s="512" t="e">
        <v>#REF!</v>
      </c>
      <c r="I55" s="510" t="e">
        <f t="shared" si="4"/>
        <v>#REF!</v>
      </c>
      <c r="J55" s="876" t="str">
        <f t="shared" si="6"/>
        <v>-</v>
      </c>
      <c r="K55" s="540"/>
      <c r="L55" s="507"/>
      <c r="M55" s="409" t="s">
        <v>564</v>
      </c>
      <c r="N55" s="1409">
        <v>4392666</v>
      </c>
      <c r="O55" s="1410">
        <f>N55-H51</f>
        <v>0</v>
      </c>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515"/>
      <c r="AP55" s="515"/>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5"/>
      <c r="BR55" s="515"/>
      <c r="BS55" s="515"/>
      <c r="BT55" s="515"/>
      <c r="BU55" s="515"/>
      <c r="BV55" s="515"/>
      <c r="BW55" s="515"/>
      <c r="BX55" s="515"/>
      <c r="BY55" s="515"/>
      <c r="BZ55" s="515"/>
      <c r="CA55" s="515"/>
      <c r="CB55" s="515"/>
      <c r="CC55" s="515"/>
      <c r="CD55" s="515"/>
      <c r="CE55" s="515"/>
      <c r="CF55" s="515"/>
      <c r="CG55" s="515"/>
      <c r="CH55" s="515"/>
      <c r="CI55" s="515"/>
      <c r="CJ55" s="515"/>
      <c r="CK55" s="515"/>
      <c r="CL55" s="515"/>
      <c r="CM55" s="515"/>
      <c r="CN55" s="515"/>
      <c r="CO55" s="515"/>
      <c r="CP55" s="515"/>
      <c r="CQ55" s="515"/>
      <c r="CR55" s="515"/>
      <c r="CS55" s="515"/>
      <c r="CT55" s="515"/>
      <c r="CU55" s="515"/>
      <c r="CV55" s="515"/>
      <c r="CW55" s="515"/>
      <c r="CX55" s="515"/>
      <c r="CY55" s="515"/>
      <c r="CZ55" s="515"/>
      <c r="DA55" s="515"/>
      <c r="DB55" s="515"/>
      <c r="DC55" s="515"/>
      <c r="DD55" s="515"/>
      <c r="DE55" s="515"/>
      <c r="DF55" s="515"/>
      <c r="DG55" s="515"/>
      <c r="DH55" s="515"/>
      <c r="DI55" s="515"/>
      <c r="DJ55" s="515"/>
      <c r="DK55" s="515"/>
      <c r="DL55" s="515"/>
      <c r="DM55" s="515"/>
      <c r="DN55" s="515"/>
      <c r="DO55" s="515"/>
      <c r="DP55" s="515"/>
      <c r="DQ55" s="515"/>
      <c r="DR55" s="515"/>
      <c r="DS55" s="515"/>
      <c r="DT55" s="515"/>
      <c r="DU55" s="515"/>
      <c r="DV55" s="515"/>
      <c r="DW55" s="515"/>
      <c r="DX55" s="515"/>
      <c r="DY55" s="515"/>
      <c r="DZ55" s="515"/>
      <c r="EA55" s="515"/>
      <c r="EB55" s="515"/>
      <c r="EC55" s="515"/>
      <c r="ED55" s="515"/>
      <c r="EE55" s="515"/>
      <c r="EF55" s="515"/>
      <c r="EG55" s="515"/>
      <c r="EH55" s="515"/>
      <c r="EI55" s="515"/>
      <c r="EJ55" s="515"/>
      <c r="EK55" s="515"/>
      <c r="EL55" s="515"/>
      <c r="EM55" s="515"/>
      <c r="EN55" s="515"/>
      <c r="EO55" s="515"/>
      <c r="EP55" s="515"/>
      <c r="EQ55" s="515"/>
      <c r="ER55" s="515"/>
      <c r="ES55" s="515"/>
      <c r="ET55" s="515"/>
      <c r="EU55" s="515"/>
      <c r="EV55" s="515"/>
      <c r="EW55" s="515"/>
      <c r="EX55" s="515"/>
      <c r="EY55" s="515"/>
      <c r="EZ55" s="515"/>
      <c r="FA55" s="515"/>
      <c r="FB55" s="515"/>
      <c r="FC55" s="515"/>
      <c r="FD55" s="515"/>
      <c r="FE55" s="515"/>
      <c r="FF55" s="515"/>
      <c r="FG55" s="515"/>
      <c r="FH55" s="515"/>
      <c r="FI55" s="515"/>
      <c r="FJ55" s="515"/>
      <c r="FK55" s="515"/>
      <c r="FL55" s="515"/>
      <c r="FM55" s="515"/>
      <c r="FN55" s="515"/>
      <c r="FO55" s="515"/>
      <c r="FP55" s="515"/>
      <c r="FQ55" s="515"/>
      <c r="FR55" s="515"/>
      <c r="FS55" s="515"/>
      <c r="FT55" s="515"/>
      <c r="FU55" s="515"/>
      <c r="FV55" s="515"/>
      <c r="FW55" s="515"/>
      <c r="FX55" s="515"/>
      <c r="FY55" s="515"/>
      <c r="FZ55" s="515"/>
      <c r="GA55" s="515"/>
      <c r="GB55" s="515"/>
      <c r="GC55" s="515"/>
      <c r="GD55" s="515"/>
      <c r="GE55" s="515"/>
      <c r="GF55" s="515"/>
      <c r="GG55" s="515"/>
      <c r="GH55" s="515"/>
      <c r="GI55" s="515"/>
      <c r="GJ55" s="515"/>
      <c r="GK55" s="515"/>
      <c r="GL55" s="515"/>
      <c r="GM55" s="515"/>
      <c r="GN55" s="515"/>
    </row>
    <row r="56" spans="1:196" s="525" customFormat="1" ht="14.4" hidden="1" outlineLevel="1" thickBot="1" x14ac:dyDescent="0.3">
      <c r="A56" s="1102">
        <v>10364130.754920783</v>
      </c>
      <c r="B56" s="1102">
        <v>4757915.554212857</v>
      </c>
      <c r="C56" s="1102" t="e">
        <f t="shared" si="5"/>
        <v>#REF!</v>
      </c>
      <c r="D56" s="1102"/>
      <c r="E56" s="523"/>
      <c r="F56" s="520" t="s">
        <v>192</v>
      </c>
      <c r="G56" s="505" t="e">
        <v>#REF!</v>
      </c>
      <c r="H56" s="505" t="e">
        <v>#REF!</v>
      </c>
      <c r="I56" s="510" t="e">
        <f t="shared" si="4"/>
        <v>#REF!</v>
      </c>
      <c r="J56" s="876" t="str">
        <f t="shared" si="6"/>
        <v>-</v>
      </c>
      <c r="K56" s="526"/>
      <c r="L56" s="507"/>
      <c r="M56" s="409" t="s">
        <v>563</v>
      </c>
      <c r="N56" s="1409">
        <v>1072024.447434146</v>
      </c>
      <c r="O56" s="1410">
        <f t="shared" ref="O56" si="7">N56-H61</f>
        <v>24685.283485662425</v>
      </c>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c r="CA56" s="515"/>
      <c r="CB56" s="515"/>
      <c r="CC56" s="515"/>
      <c r="CD56" s="515"/>
      <c r="CE56" s="515"/>
      <c r="CF56" s="515"/>
      <c r="CG56" s="515"/>
      <c r="CH56" s="515"/>
      <c r="CI56" s="515"/>
      <c r="CJ56" s="515"/>
      <c r="CK56" s="515"/>
      <c r="CL56" s="515"/>
      <c r="CM56" s="515"/>
      <c r="CN56" s="515"/>
      <c r="CO56" s="515"/>
      <c r="CP56" s="515"/>
      <c r="CQ56" s="515"/>
      <c r="CR56" s="515"/>
      <c r="CS56" s="515"/>
      <c r="CT56" s="515"/>
      <c r="CU56" s="515"/>
      <c r="CV56" s="515"/>
      <c r="CW56" s="515"/>
      <c r="CX56" s="515"/>
      <c r="CY56" s="515"/>
      <c r="CZ56" s="515"/>
      <c r="DA56" s="515"/>
      <c r="DB56" s="515"/>
      <c r="DC56" s="515"/>
      <c r="DD56" s="515"/>
      <c r="DE56" s="515"/>
      <c r="DF56" s="515"/>
      <c r="DG56" s="515"/>
      <c r="DH56" s="515"/>
      <c r="DI56" s="515"/>
      <c r="DJ56" s="515"/>
      <c r="DK56" s="515"/>
      <c r="DL56" s="515"/>
      <c r="DM56" s="515"/>
      <c r="DN56" s="515"/>
      <c r="DO56" s="515"/>
      <c r="DP56" s="515"/>
      <c r="DQ56" s="515"/>
      <c r="DR56" s="515"/>
      <c r="DS56" s="515"/>
      <c r="DT56" s="515"/>
      <c r="DU56" s="515"/>
      <c r="DV56" s="515"/>
      <c r="DW56" s="515"/>
      <c r="DX56" s="515"/>
      <c r="DY56" s="515"/>
      <c r="DZ56" s="515"/>
      <c r="EA56" s="515"/>
      <c r="EB56" s="515"/>
      <c r="EC56" s="515"/>
      <c r="ED56" s="515"/>
      <c r="EE56" s="515"/>
      <c r="EF56" s="515"/>
      <c r="EG56" s="515"/>
      <c r="EH56" s="515"/>
      <c r="EI56" s="515"/>
      <c r="EJ56" s="515"/>
      <c r="EK56" s="515"/>
      <c r="EL56" s="515"/>
      <c r="EM56" s="515"/>
      <c r="EN56" s="515"/>
      <c r="EO56" s="515"/>
      <c r="EP56" s="515"/>
      <c r="EQ56" s="515"/>
      <c r="ER56" s="515"/>
      <c r="ES56" s="515"/>
      <c r="ET56" s="515"/>
      <c r="EU56" s="515"/>
      <c r="EV56" s="515"/>
      <c r="EW56" s="515"/>
      <c r="EX56" s="515"/>
      <c r="EY56" s="515"/>
      <c r="EZ56" s="515"/>
      <c r="FA56" s="515"/>
      <c r="FB56" s="515"/>
      <c r="FC56" s="515"/>
      <c r="FD56" s="515"/>
      <c r="FE56" s="515"/>
      <c r="FF56" s="515"/>
      <c r="FG56" s="515"/>
      <c r="FH56" s="515"/>
      <c r="FI56" s="515"/>
      <c r="FJ56" s="515"/>
      <c r="FK56" s="515"/>
      <c r="FL56" s="515"/>
      <c r="FM56" s="515"/>
      <c r="FN56" s="515"/>
      <c r="FO56" s="515"/>
      <c r="FP56" s="515"/>
      <c r="FQ56" s="515"/>
      <c r="FR56" s="515"/>
      <c r="FS56" s="515"/>
      <c r="FT56" s="515"/>
      <c r="FU56" s="515"/>
      <c r="FV56" s="515"/>
      <c r="FW56" s="515"/>
      <c r="FX56" s="515"/>
      <c r="FY56" s="515"/>
      <c r="FZ56" s="515"/>
      <c r="GA56" s="515"/>
      <c r="GB56" s="515"/>
      <c r="GC56" s="515"/>
      <c r="GD56" s="515"/>
      <c r="GE56" s="515"/>
      <c r="GF56" s="515"/>
      <c r="GG56" s="515"/>
      <c r="GH56" s="515"/>
      <c r="GI56" s="515"/>
      <c r="GJ56" s="515"/>
      <c r="GK56" s="515"/>
      <c r="GL56" s="515"/>
      <c r="GM56" s="515"/>
      <c r="GN56" s="515"/>
    </row>
    <row r="57" spans="1:196" ht="13.8" collapsed="1" x14ac:dyDescent="0.25">
      <c r="A57" s="920"/>
      <c r="E57" s="138" t="s">
        <v>5</v>
      </c>
      <c r="F57" s="139" t="s">
        <v>68</v>
      </c>
      <c r="G57" s="324">
        <v>8625954.6749362685</v>
      </c>
      <c r="H57" s="310">
        <v>8261338.7371972902</v>
      </c>
      <c r="I57" s="140">
        <f t="shared" si="4"/>
        <v>-364615.9377389783</v>
      </c>
      <c r="J57" s="877">
        <f>IFERROR(I57/G57,"-")</f>
        <v>-4.2269632925201084E-2</v>
      </c>
      <c r="K57" s="417"/>
      <c r="L57" s="224"/>
      <c r="M57" s="107" t="s">
        <v>192</v>
      </c>
      <c r="N57" s="1114">
        <v>3751835.3929128568</v>
      </c>
      <c r="O57" s="1119" t="e">
        <f>N57-H56</f>
        <v>#REF!</v>
      </c>
      <c r="P57" t="s">
        <v>1440</v>
      </c>
    </row>
    <row r="58" spans="1:196" s="343" customFormat="1" ht="13.8" x14ac:dyDescent="0.25">
      <c r="A58" s="1407"/>
      <c r="B58" s="1411"/>
      <c r="C58" s="1407"/>
      <c r="D58" s="1407"/>
      <c r="E58" s="338"/>
      <c r="F58" s="339" t="s">
        <v>228</v>
      </c>
      <c r="G58" s="340">
        <v>2113048.4424799997</v>
      </c>
      <c r="H58" s="340">
        <v>2266432.6973488065</v>
      </c>
      <c r="I58" s="341">
        <f t="shared" si="4"/>
        <v>153384.25486880681</v>
      </c>
      <c r="J58" s="873">
        <f t="shared" si="6"/>
        <v>7.2589085884271487E-2</v>
      </c>
      <c r="K58" s="425"/>
      <c r="L58" s="470"/>
      <c r="M58" s="1125" t="s">
        <v>357</v>
      </c>
      <c r="N58" s="1408"/>
      <c r="O58" s="1119"/>
      <c r="P58" s="924"/>
      <c r="Q58" s="924"/>
      <c r="R58" s="924"/>
      <c r="S58" s="924"/>
      <c r="T58" s="924"/>
      <c r="U58" s="924"/>
      <c r="V58" s="924"/>
      <c r="W58" s="924"/>
      <c r="X58" s="924"/>
      <c r="Y58" s="924"/>
      <c r="Z58" s="924"/>
      <c r="AA58" s="924"/>
      <c r="AB58" s="924"/>
      <c r="AC58" s="924"/>
      <c r="AD58" s="924"/>
      <c r="AE58" s="924"/>
      <c r="AF58" s="924"/>
      <c r="AG58" s="924"/>
      <c r="AH58" s="924"/>
      <c r="AI58" s="924"/>
      <c r="AJ58" s="924"/>
      <c r="AK58" s="924"/>
      <c r="AL58" s="924"/>
      <c r="AM58" s="924"/>
      <c r="AN58" s="924"/>
      <c r="AO58" s="924"/>
      <c r="AP58" s="924"/>
      <c r="AQ58" s="924"/>
      <c r="AR58" s="924"/>
      <c r="AS58" s="924"/>
      <c r="AT58" s="924"/>
      <c r="AU58" s="924"/>
      <c r="AV58" s="924"/>
      <c r="AW58" s="924"/>
      <c r="AX58" s="924"/>
      <c r="AY58" s="924"/>
      <c r="AZ58" s="924"/>
      <c r="BA58" s="924"/>
      <c r="BB58" s="924"/>
      <c r="BC58" s="924"/>
      <c r="BD58" s="924"/>
      <c r="BE58" s="924"/>
      <c r="BF58" s="924"/>
      <c r="BG58" s="924"/>
      <c r="BH58" s="924"/>
      <c r="BI58" s="924"/>
      <c r="BJ58" s="924"/>
      <c r="BK58" s="924"/>
      <c r="BL58" s="924"/>
      <c r="BM58" s="924"/>
      <c r="BN58" s="924"/>
      <c r="BO58" s="924"/>
      <c r="BP58" s="924"/>
      <c r="BQ58" s="924"/>
      <c r="BR58" s="924"/>
      <c r="BS58" s="924"/>
      <c r="BT58" s="924"/>
      <c r="BU58" s="924"/>
      <c r="BV58" s="924"/>
      <c r="BW58" s="924"/>
      <c r="BX58" s="924"/>
      <c r="BY58" s="924"/>
      <c r="BZ58" s="924"/>
      <c r="CA58" s="924"/>
      <c r="CB58" s="924"/>
      <c r="CC58" s="924"/>
      <c r="CD58" s="924"/>
      <c r="CE58" s="924"/>
      <c r="CF58" s="924"/>
      <c r="CG58" s="924"/>
      <c r="CH58" s="924"/>
      <c r="CI58" s="924"/>
      <c r="CJ58" s="924"/>
      <c r="CK58" s="924"/>
      <c r="CL58" s="924"/>
      <c r="CM58" s="924"/>
      <c r="CN58" s="924"/>
      <c r="CO58" s="924"/>
      <c r="CP58" s="924"/>
      <c r="CQ58" s="924"/>
      <c r="CR58" s="924"/>
      <c r="CS58" s="924"/>
      <c r="CT58" s="924"/>
      <c r="CU58" s="924"/>
      <c r="CV58" s="924"/>
      <c r="CW58" s="924"/>
      <c r="CX58" s="924"/>
      <c r="CY58" s="924"/>
      <c r="CZ58" s="924"/>
      <c r="DA58" s="924"/>
      <c r="DB58" s="924"/>
      <c r="DC58" s="924"/>
      <c r="DD58" s="924"/>
      <c r="DE58" s="924"/>
      <c r="DF58" s="924"/>
      <c r="DG58" s="924"/>
      <c r="DH58" s="924"/>
      <c r="DI58" s="924"/>
      <c r="DJ58" s="924"/>
      <c r="DK58" s="924"/>
      <c r="DL58" s="924"/>
      <c r="DM58" s="924"/>
      <c r="DN58" s="924"/>
      <c r="DO58" s="924"/>
      <c r="DP58" s="924"/>
      <c r="DQ58" s="924"/>
      <c r="DR58" s="924"/>
      <c r="DS58" s="924"/>
      <c r="DT58" s="924"/>
      <c r="DU58" s="924"/>
      <c r="DV58" s="924"/>
      <c r="DW58" s="924"/>
      <c r="DX58" s="924"/>
      <c r="DY58" s="924"/>
      <c r="DZ58" s="924"/>
      <c r="EA58" s="924"/>
      <c r="EB58" s="924"/>
      <c r="EC58" s="924"/>
      <c r="ED58" s="924"/>
      <c r="EE58" s="924"/>
      <c r="EF58" s="924"/>
      <c r="EG58" s="924"/>
      <c r="EH58" s="924"/>
      <c r="EI58" s="924"/>
      <c r="EJ58" s="924"/>
      <c r="EK58" s="924"/>
      <c r="EL58" s="924"/>
      <c r="EM58" s="924"/>
      <c r="EN58" s="924"/>
      <c r="EO58" s="924"/>
      <c r="EP58" s="924"/>
      <c r="EQ58" s="924"/>
      <c r="ER58" s="924"/>
      <c r="ES58" s="924"/>
      <c r="ET58" s="924"/>
      <c r="EU58" s="924"/>
      <c r="EV58" s="924"/>
      <c r="EW58" s="924"/>
      <c r="EX58" s="924"/>
      <c r="EY58" s="924"/>
      <c r="EZ58" s="924"/>
      <c r="FA58" s="924"/>
      <c r="FB58" s="924"/>
      <c r="FC58" s="924"/>
      <c r="FD58" s="924"/>
      <c r="FE58" s="924"/>
      <c r="FF58" s="924"/>
      <c r="FG58" s="924"/>
      <c r="FH58" s="924"/>
      <c r="FI58" s="924"/>
      <c r="FJ58" s="924"/>
      <c r="FK58" s="924"/>
      <c r="FL58" s="924"/>
      <c r="FM58" s="924"/>
      <c r="FN58" s="924"/>
      <c r="FO58" s="924"/>
      <c r="FP58" s="924"/>
      <c r="FQ58" s="924"/>
      <c r="FR58" s="924"/>
      <c r="FS58" s="924"/>
      <c r="FT58" s="924"/>
      <c r="FU58" s="924"/>
      <c r="FV58" s="924"/>
      <c r="FW58" s="924"/>
      <c r="FX58" s="924"/>
      <c r="FY58" s="924"/>
      <c r="FZ58" s="924"/>
      <c r="GA58" s="924"/>
      <c r="GB58" s="924"/>
      <c r="GC58" s="924"/>
      <c r="GD58" s="924"/>
      <c r="GE58" s="924"/>
      <c r="GF58" s="924"/>
      <c r="GG58" s="924"/>
      <c r="GH58" s="924"/>
      <c r="GI58" s="924"/>
      <c r="GJ58" s="924"/>
      <c r="GK58" s="924"/>
      <c r="GL58" s="924"/>
      <c r="GM58" s="924"/>
      <c r="GN58" s="924"/>
    </row>
    <row r="59" spans="1:196" s="343" customFormat="1" ht="13.8" x14ac:dyDescent="0.25">
      <c r="A59" s="1407"/>
      <c r="B59" s="1412"/>
      <c r="C59" s="1407"/>
      <c r="D59" s="1407"/>
      <c r="E59" s="344"/>
      <c r="F59" s="345" t="s">
        <v>198</v>
      </c>
      <c r="G59" s="340">
        <v>466787.32500169752</v>
      </c>
      <c r="H59" s="340">
        <v>511200.87589999998</v>
      </c>
      <c r="I59" s="341">
        <f t="shared" si="4"/>
        <v>44413.550898302463</v>
      </c>
      <c r="J59" s="873">
        <f t="shared" si="6"/>
        <v>9.5147294109026948E-2</v>
      </c>
      <c r="K59" s="424"/>
      <c r="L59" s="470"/>
      <c r="M59" s="1125" t="s">
        <v>1270</v>
      </c>
      <c r="N59" s="1408">
        <v>560177</v>
      </c>
      <c r="O59" s="1119"/>
      <c r="P59" s="924" t="s">
        <v>1442</v>
      </c>
      <c r="Q59" s="924"/>
      <c r="R59" s="924"/>
      <c r="S59" s="924"/>
      <c r="T59" s="924"/>
      <c r="U59" s="924"/>
      <c r="V59" s="924"/>
      <c r="W59" s="924"/>
      <c r="X59" s="924"/>
      <c r="Y59" s="924"/>
      <c r="Z59" s="924"/>
      <c r="AA59" s="924"/>
      <c r="AB59" s="924"/>
      <c r="AC59" s="924"/>
      <c r="AD59" s="924"/>
      <c r="AE59" s="924"/>
      <c r="AF59" s="924"/>
      <c r="AG59" s="924"/>
      <c r="AH59" s="924"/>
      <c r="AI59" s="924"/>
      <c r="AJ59" s="924"/>
      <c r="AK59" s="924"/>
      <c r="AL59" s="924"/>
      <c r="AM59" s="924"/>
      <c r="AN59" s="924"/>
      <c r="AO59" s="924"/>
      <c r="AP59" s="924"/>
      <c r="AQ59" s="924"/>
      <c r="AR59" s="924"/>
      <c r="AS59" s="924"/>
      <c r="AT59" s="924"/>
      <c r="AU59" s="924"/>
      <c r="AV59" s="924"/>
      <c r="AW59" s="924"/>
      <c r="AX59" s="924"/>
      <c r="AY59" s="924"/>
      <c r="AZ59" s="924"/>
      <c r="BA59" s="924"/>
      <c r="BB59" s="924"/>
      <c r="BC59" s="924"/>
      <c r="BD59" s="924"/>
      <c r="BE59" s="924"/>
      <c r="BF59" s="924"/>
      <c r="BG59" s="924"/>
      <c r="BH59" s="924"/>
      <c r="BI59" s="924"/>
      <c r="BJ59" s="924"/>
      <c r="BK59" s="924"/>
      <c r="BL59" s="924"/>
      <c r="BM59" s="924"/>
      <c r="BN59" s="924"/>
      <c r="BO59" s="924"/>
      <c r="BP59" s="924"/>
      <c r="BQ59" s="924"/>
      <c r="BR59" s="924"/>
      <c r="BS59" s="924"/>
      <c r="BT59" s="924"/>
      <c r="BU59" s="924"/>
      <c r="BV59" s="924"/>
      <c r="BW59" s="924"/>
      <c r="BX59" s="924"/>
      <c r="BY59" s="924"/>
      <c r="BZ59" s="924"/>
      <c r="CA59" s="924"/>
      <c r="CB59" s="924"/>
      <c r="CC59" s="924"/>
      <c r="CD59" s="924"/>
      <c r="CE59" s="924"/>
      <c r="CF59" s="924"/>
      <c r="CG59" s="924"/>
      <c r="CH59" s="924"/>
      <c r="CI59" s="924"/>
      <c r="CJ59" s="924"/>
      <c r="CK59" s="924"/>
      <c r="CL59" s="924"/>
      <c r="CM59" s="924"/>
      <c r="CN59" s="924"/>
      <c r="CO59" s="924"/>
      <c r="CP59" s="924"/>
      <c r="CQ59" s="924"/>
      <c r="CR59" s="924"/>
      <c r="CS59" s="924"/>
      <c r="CT59" s="924"/>
      <c r="CU59" s="924"/>
      <c r="CV59" s="924"/>
      <c r="CW59" s="924"/>
      <c r="CX59" s="924"/>
      <c r="CY59" s="924"/>
      <c r="CZ59" s="924"/>
      <c r="DA59" s="924"/>
      <c r="DB59" s="924"/>
      <c r="DC59" s="924"/>
      <c r="DD59" s="924"/>
      <c r="DE59" s="924"/>
      <c r="DF59" s="924"/>
      <c r="DG59" s="924"/>
      <c r="DH59" s="924"/>
      <c r="DI59" s="924"/>
      <c r="DJ59" s="924"/>
      <c r="DK59" s="924"/>
      <c r="DL59" s="924"/>
      <c r="DM59" s="924"/>
      <c r="DN59" s="924"/>
      <c r="DO59" s="924"/>
      <c r="DP59" s="924"/>
      <c r="DQ59" s="924"/>
      <c r="DR59" s="924"/>
      <c r="DS59" s="924"/>
      <c r="DT59" s="924"/>
      <c r="DU59" s="924"/>
      <c r="DV59" s="924"/>
      <c r="DW59" s="924"/>
      <c r="DX59" s="924"/>
      <c r="DY59" s="924"/>
      <c r="DZ59" s="924"/>
      <c r="EA59" s="924"/>
      <c r="EB59" s="924"/>
      <c r="EC59" s="924"/>
      <c r="ED59" s="924"/>
      <c r="EE59" s="924"/>
      <c r="EF59" s="924"/>
      <c r="EG59" s="924"/>
      <c r="EH59" s="924"/>
      <c r="EI59" s="924"/>
      <c r="EJ59" s="924"/>
      <c r="EK59" s="924"/>
      <c r="EL59" s="924"/>
      <c r="EM59" s="924"/>
      <c r="EN59" s="924"/>
      <c r="EO59" s="924"/>
      <c r="EP59" s="924"/>
      <c r="EQ59" s="924"/>
      <c r="ER59" s="924"/>
      <c r="ES59" s="924"/>
      <c r="ET59" s="924"/>
      <c r="EU59" s="924"/>
      <c r="EV59" s="924"/>
      <c r="EW59" s="924"/>
      <c r="EX59" s="924"/>
      <c r="EY59" s="924"/>
      <c r="EZ59" s="924"/>
      <c r="FA59" s="924"/>
      <c r="FB59" s="924"/>
      <c r="FC59" s="924"/>
      <c r="FD59" s="924"/>
      <c r="FE59" s="924"/>
      <c r="FF59" s="924"/>
      <c r="FG59" s="924"/>
      <c r="FH59" s="924"/>
      <c r="FI59" s="924"/>
      <c r="FJ59" s="924"/>
      <c r="FK59" s="924"/>
      <c r="FL59" s="924"/>
      <c r="FM59" s="924"/>
      <c r="FN59" s="924"/>
      <c r="FO59" s="924"/>
      <c r="FP59" s="924"/>
      <c r="FQ59" s="924"/>
      <c r="FR59" s="924"/>
      <c r="FS59" s="924"/>
      <c r="FT59" s="924"/>
      <c r="FU59" s="924"/>
      <c r="FV59" s="924"/>
      <c r="FW59" s="924"/>
      <c r="FX59" s="924"/>
      <c r="FY59" s="924"/>
      <c r="FZ59" s="924"/>
      <c r="GA59" s="924"/>
      <c r="GB59" s="924"/>
      <c r="GC59" s="924"/>
      <c r="GD59" s="924"/>
      <c r="GE59" s="924"/>
      <c r="GF59" s="924"/>
      <c r="GG59" s="924"/>
      <c r="GH59" s="924"/>
      <c r="GI59" s="924"/>
      <c r="GJ59" s="924"/>
      <c r="GK59" s="924"/>
      <c r="GL59" s="924"/>
      <c r="GM59" s="924"/>
      <c r="GN59" s="924"/>
    </row>
    <row r="60" spans="1:196" s="343" customFormat="1" ht="13.8" x14ac:dyDescent="0.25">
      <c r="A60" s="1407"/>
      <c r="B60" s="1412"/>
      <c r="C60" s="1407"/>
      <c r="D60" s="1407"/>
      <c r="E60" s="338"/>
      <c r="F60" s="339" t="s">
        <v>197</v>
      </c>
      <c r="G60" s="340">
        <v>43838</v>
      </c>
      <c r="H60" s="340">
        <v>43700</v>
      </c>
      <c r="I60" s="341">
        <f t="shared" si="4"/>
        <v>-138</v>
      </c>
      <c r="J60" s="873">
        <f t="shared" si="6"/>
        <v>-3.1479538300104933E-3</v>
      </c>
      <c r="K60" s="424"/>
      <c r="L60" s="470"/>
      <c r="M60" s="1125" t="s">
        <v>186</v>
      </c>
      <c r="N60" s="1408">
        <v>1318990</v>
      </c>
      <c r="O60" s="1119">
        <f>N60+N51-H52</f>
        <v>401589.99999999977</v>
      </c>
      <c r="P60" s="925" t="s">
        <v>1443</v>
      </c>
      <c r="Q60" s="924"/>
      <c r="R60" s="924"/>
      <c r="S60" s="924"/>
      <c r="T60" s="924"/>
      <c r="U60" s="924"/>
      <c r="V60" s="924"/>
      <c r="W60" s="924"/>
      <c r="X60" s="924"/>
      <c r="Y60" s="924"/>
      <c r="Z60" s="924"/>
      <c r="AA60" s="924"/>
      <c r="AB60" s="924"/>
      <c r="AC60" s="924"/>
      <c r="AD60" s="924"/>
      <c r="AE60" s="924"/>
      <c r="AF60" s="924"/>
      <c r="AG60" s="924"/>
      <c r="AH60" s="924"/>
      <c r="AI60" s="924"/>
      <c r="AJ60" s="924"/>
      <c r="AK60" s="924"/>
      <c r="AL60" s="924"/>
      <c r="AM60" s="924"/>
      <c r="AN60" s="924"/>
      <c r="AO60" s="924"/>
      <c r="AP60" s="924"/>
      <c r="AQ60" s="924"/>
      <c r="AR60" s="924"/>
      <c r="AS60" s="924"/>
      <c r="AT60" s="924"/>
      <c r="AU60" s="924"/>
      <c r="AV60" s="924"/>
      <c r="AW60" s="924"/>
      <c r="AX60" s="924"/>
      <c r="AY60" s="924"/>
      <c r="AZ60" s="924"/>
      <c r="BA60" s="924"/>
      <c r="BB60" s="924"/>
      <c r="BC60" s="924"/>
      <c r="BD60" s="924"/>
      <c r="BE60" s="924"/>
      <c r="BF60" s="924"/>
      <c r="BG60" s="924"/>
      <c r="BH60" s="924"/>
      <c r="BI60" s="924"/>
      <c r="BJ60" s="924"/>
      <c r="BK60" s="924"/>
      <c r="BL60" s="924"/>
      <c r="BM60" s="924"/>
      <c r="BN60" s="924"/>
      <c r="BO60" s="924"/>
      <c r="BP60" s="924"/>
      <c r="BQ60" s="924"/>
      <c r="BR60" s="924"/>
      <c r="BS60" s="924"/>
      <c r="BT60" s="924"/>
      <c r="BU60" s="924"/>
      <c r="BV60" s="924"/>
      <c r="BW60" s="924"/>
      <c r="BX60" s="924"/>
      <c r="BY60" s="924"/>
      <c r="BZ60" s="924"/>
      <c r="CA60" s="924"/>
      <c r="CB60" s="924"/>
      <c r="CC60" s="924"/>
      <c r="CD60" s="924"/>
      <c r="CE60" s="924"/>
      <c r="CF60" s="924"/>
      <c r="CG60" s="924"/>
      <c r="CH60" s="924"/>
      <c r="CI60" s="924"/>
      <c r="CJ60" s="924"/>
      <c r="CK60" s="924"/>
      <c r="CL60" s="924"/>
      <c r="CM60" s="924"/>
      <c r="CN60" s="924"/>
      <c r="CO60" s="924"/>
      <c r="CP60" s="924"/>
      <c r="CQ60" s="924"/>
      <c r="CR60" s="924"/>
      <c r="CS60" s="924"/>
      <c r="CT60" s="924"/>
      <c r="CU60" s="924"/>
      <c r="CV60" s="924"/>
      <c r="CW60" s="924"/>
      <c r="CX60" s="924"/>
      <c r="CY60" s="924"/>
      <c r="CZ60" s="924"/>
      <c r="DA60" s="924"/>
      <c r="DB60" s="924"/>
      <c r="DC60" s="924"/>
      <c r="DD60" s="924"/>
      <c r="DE60" s="924"/>
      <c r="DF60" s="924"/>
      <c r="DG60" s="924"/>
      <c r="DH60" s="924"/>
      <c r="DI60" s="924"/>
      <c r="DJ60" s="924"/>
      <c r="DK60" s="924"/>
      <c r="DL60" s="924"/>
      <c r="DM60" s="924"/>
      <c r="DN60" s="924"/>
      <c r="DO60" s="924"/>
      <c r="DP60" s="924"/>
      <c r="DQ60" s="924"/>
      <c r="DR60" s="924"/>
      <c r="DS60" s="924"/>
      <c r="DT60" s="924"/>
      <c r="DU60" s="924"/>
      <c r="DV60" s="924"/>
      <c r="DW60" s="924"/>
      <c r="DX60" s="924"/>
      <c r="DY60" s="924"/>
      <c r="DZ60" s="924"/>
      <c r="EA60" s="924"/>
      <c r="EB60" s="924"/>
      <c r="EC60" s="924"/>
      <c r="ED60" s="924"/>
      <c r="EE60" s="924"/>
      <c r="EF60" s="924"/>
      <c r="EG60" s="924"/>
      <c r="EH60" s="924"/>
      <c r="EI60" s="924"/>
      <c r="EJ60" s="924"/>
      <c r="EK60" s="924"/>
      <c r="EL60" s="924"/>
      <c r="EM60" s="924"/>
      <c r="EN60" s="924"/>
      <c r="EO60" s="924"/>
      <c r="EP60" s="924"/>
      <c r="EQ60" s="924"/>
      <c r="ER60" s="924"/>
      <c r="ES60" s="924"/>
      <c r="ET60" s="924"/>
      <c r="EU60" s="924"/>
      <c r="EV60" s="924"/>
      <c r="EW60" s="924"/>
      <c r="EX60" s="924"/>
      <c r="EY60" s="924"/>
      <c r="EZ60" s="924"/>
      <c r="FA60" s="924"/>
      <c r="FB60" s="924"/>
      <c r="FC60" s="924"/>
      <c r="FD60" s="924"/>
      <c r="FE60" s="924"/>
      <c r="FF60" s="924"/>
      <c r="FG60" s="924"/>
      <c r="FH60" s="924"/>
      <c r="FI60" s="924"/>
      <c r="FJ60" s="924"/>
      <c r="FK60" s="924"/>
      <c r="FL60" s="924"/>
      <c r="FM60" s="924"/>
      <c r="FN60" s="924"/>
      <c r="FO60" s="924"/>
      <c r="FP60" s="924"/>
      <c r="FQ60" s="924"/>
      <c r="FR60" s="924"/>
      <c r="FS60" s="924"/>
      <c r="FT60" s="924"/>
      <c r="FU60" s="924"/>
      <c r="FV60" s="924"/>
      <c r="FW60" s="924"/>
      <c r="FX60" s="924"/>
      <c r="FY60" s="924"/>
      <c r="FZ60" s="924"/>
      <c r="GA60" s="924"/>
      <c r="GB60" s="924"/>
      <c r="GC60" s="924"/>
      <c r="GD60" s="924"/>
      <c r="GE60" s="924"/>
      <c r="GF60" s="924"/>
      <c r="GG60" s="924"/>
      <c r="GH60" s="924"/>
      <c r="GI60" s="924"/>
      <c r="GJ60" s="924"/>
      <c r="GK60" s="924"/>
      <c r="GL60" s="924"/>
      <c r="GM60" s="924"/>
      <c r="GN60" s="924"/>
    </row>
    <row r="61" spans="1:196" s="333" customFormat="1" ht="13.8" x14ac:dyDescent="0.25">
      <c r="A61" s="1407"/>
      <c r="B61" s="1412"/>
      <c r="C61" s="1407"/>
      <c r="D61" s="1407"/>
      <c r="E61" s="335"/>
      <c r="F61" s="336" t="s">
        <v>662</v>
      </c>
      <c r="G61" s="337">
        <v>159368.9074545709</v>
      </c>
      <c r="H61" s="337">
        <v>1047339.1639484835</v>
      </c>
      <c r="I61" s="330">
        <f t="shared" si="4"/>
        <v>887970.25649391266</v>
      </c>
      <c r="J61" s="874">
        <f t="shared" si="6"/>
        <v>5.5717910769202836</v>
      </c>
      <c r="K61" s="426"/>
      <c r="L61" s="470"/>
      <c r="M61" s="1125" t="s">
        <v>1345</v>
      </c>
      <c r="N61" s="1408">
        <v>0</v>
      </c>
      <c r="O61" s="1119"/>
      <c r="P61" s="925"/>
      <c r="Q61" s="925"/>
      <c r="R61" s="925"/>
      <c r="S61" s="925"/>
      <c r="T61" s="925"/>
      <c r="U61" s="925"/>
      <c r="V61" s="925"/>
      <c r="W61" s="925"/>
      <c r="X61" s="925"/>
      <c r="Y61" s="925"/>
      <c r="Z61" s="925"/>
      <c r="AA61" s="925"/>
      <c r="AB61" s="925"/>
      <c r="AC61" s="925"/>
      <c r="AD61" s="925"/>
      <c r="AE61" s="925"/>
      <c r="AF61" s="925"/>
      <c r="AG61" s="925"/>
      <c r="AH61" s="925"/>
      <c r="AI61" s="925"/>
      <c r="AJ61" s="925"/>
      <c r="AK61" s="925"/>
      <c r="AL61" s="925"/>
      <c r="AM61" s="925"/>
      <c r="AN61" s="925"/>
      <c r="AO61" s="925"/>
      <c r="AP61" s="925"/>
      <c r="AQ61" s="925"/>
      <c r="AR61" s="925"/>
      <c r="AS61" s="925"/>
      <c r="AT61" s="925"/>
      <c r="AU61" s="925"/>
      <c r="AV61" s="925"/>
      <c r="AW61" s="925"/>
      <c r="AX61" s="925"/>
      <c r="AY61" s="925"/>
      <c r="AZ61" s="925"/>
      <c r="BA61" s="925"/>
      <c r="BB61" s="925"/>
      <c r="BC61" s="925"/>
      <c r="BD61" s="925"/>
      <c r="BE61" s="925"/>
      <c r="BF61" s="925"/>
      <c r="BG61" s="925"/>
      <c r="BH61" s="925"/>
      <c r="BI61" s="925"/>
      <c r="BJ61" s="925"/>
      <c r="BK61" s="925"/>
      <c r="BL61" s="925"/>
      <c r="BM61" s="925"/>
      <c r="BN61" s="925"/>
      <c r="BO61" s="925"/>
      <c r="BP61" s="925"/>
      <c r="BQ61" s="925"/>
      <c r="BR61" s="925"/>
      <c r="BS61" s="925"/>
      <c r="BT61" s="925"/>
      <c r="BU61" s="925"/>
      <c r="BV61" s="925"/>
      <c r="BW61" s="925"/>
      <c r="BX61" s="925"/>
      <c r="BY61" s="925"/>
      <c r="BZ61" s="925"/>
      <c r="CA61" s="925"/>
      <c r="CB61" s="925"/>
      <c r="CC61" s="925"/>
      <c r="CD61" s="925"/>
      <c r="CE61" s="925"/>
      <c r="CF61" s="925"/>
      <c r="CG61" s="925"/>
      <c r="CH61" s="925"/>
      <c r="CI61" s="925"/>
      <c r="CJ61" s="925"/>
      <c r="CK61" s="925"/>
      <c r="CL61" s="925"/>
      <c r="CM61" s="925"/>
      <c r="CN61" s="925"/>
      <c r="CO61" s="925"/>
      <c r="CP61" s="925"/>
      <c r="CQ61" s="925"/>
      <c r="CR61" s="925"/>
      <c r="CS61" s="925"/>
      <c r="CT61" s="925"/>
      <c r="CU61" s="925"/>
      <c r="CV61" s="925"/>
      <c r="CW61" s="925"/>
      <c r="CX61" s="925"/>
      <c r="CY61" s="925"/>
      <c r="CZ61" s="925"/>
      <c r="DA61" s="925"/>
      <c r="DB61" s="925"/>
      <c r="DC61" s="925"/>
      <c r="DD61" s="925"/>
      <c r="DE61" s="925"/>
      <c r="DF61" s="925"/>
      <c r="DG61" s="925"/>
      <c r="DH61" s="925"/>
      <c r="DI61" s="925"/>
      <c r="DJ61" s="925"/>
      <c r="DK61" s="925"/>
      <c r="DL61" s="925"/>
      <c r="DM61" s="925"/>
      <c r="DN61" s="925"/>
      <c r="DO61" s="925"/>
      <c r="DP61" s="925"/>
      <c r="DQ61" s="925"/>
      <c r="DR61" s="925"/>
      <c r="DS61" s="925"/>
      <c r="DT61" s="925"/>
      <c r="DU61" s="925"/>
      <c r="DV61" s="925"/>
      <c r="DW61" s="925"/>
      <c r="DX61" s="925"/>
      <c r="DY61" s="925"/>
      <c r="DZ61" s="925"/>
      <c r="EA61" s="925"/>
      <c r="EB61" s="925"/>
      <c r="EC61" s="925"/>
      <c r="ED61" s="925"/>
      <c r="EE61" s="925"/>
      <c r="EF61" s="925"/>
      <c r="EG61" s="925"/>
      <c r="EH61" s="925"/>
      <c r="EI61" s="925"/>
      <c r="EJ61" s="925"/>
      <c r="EK61" s="925"/>
      <c r="EL61" s="925"/>
      <c r="EM61" s="925"/>
      <c r="EN61" s="925"/>
      <c r="EO61" s="925"/>
      <c r="EP61" s="925"/>
      <c r="EQ61" s="925"/>
      <c r="ER61" s="925"/>
      <c r="ES61" s="925"/>
      <c r="ET61" s="925"/>
      <c r="EU61" s="925"/>
      <c r="EV61" s="925"/>
      <c r="EW61" s="925"/>
      <c r="EX61" s="925"/>
      <c r="EY61" s="925"/>
      <c r="EZ61" s="925"/>
      <c r="FA61" s="925"/>
      <c r="FB61" s="925"/>
      <c r="FC61" s="925"/>
      <c r="FD61" s="925"/>
      <c r="FE61" s="925"/>
      <c r="FF61" s="925"/>
      <c r="FG61" s="925"/>
      <c r="FH61" s="925"/>
      <c r="FI61" s="925"/>
      <c r="FJ61" s="925"/>
      <c r="FK61" s="925"/>
      <c r="FL61" s="925"/>
      <c r="FM61" s="925"/>
      <c r="FN61" s="925"/>
      <c r="FO61" s="925"/>
      <c r="FP61" s="925"/>
      <c r="FQ61" s="925"/>
      <c r="FR61" s="925"/>
      <c r="FS61" s="925"/>
      <c r="FT61" s="925"/>
      <c r="FU61" s="925"/>
      <c r="FV61" s="925"/>
      <c r="FW61" s="925"/>
      <c r="FX61" s="925"/>
      <c r="FY61" s="925"/>
      <c r="FZ61" s="925"/>
      <c r="GA61" s="925"/>
      <c r="GB61" s="925"/>
      <c r="GC61" s="925"/>
      <c r="GD61" s="925"/>
      <c r="GE61" s="925"/>
      <c r="GF61" s="925"/>
      <c r="GG61" s="925"/>
      <c r="GH61" s="925"/>
      <c r="GI61" s="925"/>
      <c r="GJ61" s="925"/>
      <c r="GK61" s="925"/>
      <c r="GL61" s="925"/>
      <c r="GM61" s="925"/>
      <c r="GN61" s="925"/>
    </row>
    <row r="62" spans="1:196" s="333" customFormat="1" ht="13.8" x14ac:dyDescent="0.25">
      <c r="A62" s="1407"/>
      <c r="B62" s="1412"/>
      <c r="C62" s="1407"/>
      <c r="D62" s="1407"/>
      <c r="E62" s="471"/>
      <c r="F62" s="472" t="s">
        <v>80</v>
      </c>
      <c r="G62" s="473">
        <v>5842912</v>
      </c>
      <c r="H62" s="473">
        <v>4392666</v>
      </c>
      <c r="I62" s="330">
        <f t="shared" si="4"/>
        <v>-1450246</v>
      </c>
      <c r="J62" s="874">
        <f t="shared" si="6"/>
        <v>-0.24820603151305376</v>
      </c>
      <c r="K62" s="474"/>
      <c r="L62" s="470"/>
      <c r="M62" s="1125" t="s">
        <v>1346</v>
      </c>
      <c r="N62" s="1408">
        <v>0</v>
      </c>
      <c r="O62" s="1119"/>
      <c r="P62" s="925"/>
      <c r="Q62" s="925"/>
      <c r="R62" s="925"/>
      <c r="S62" s="925"/>
      <c r="T62" s="925"/>
      <c r="U62" s="925"/>
      <c r="V62" s="925"/>
      <c r="W62" s="925"/>
      <c r="X62" s="925"/>
      <c r="Y62" s="925"/>
      <c r="Z62" s="925"/>
      <c r="AA62" s="925"/>
      <c r="AB62" s="925"/>
      <c r="AC62" s="925"/>
      <c r="AD62" s="925"/>
      <c r="AE62" s="925"/>
      <c r="AF62" s="925"/>
      <c r="AG62" s="925"/>
      <c r="AH62" s="925"/>
      <c r="AI62" s="925"/>
      <c r="AJ62" s="925"/>
      <c r="AK62" s="925"/>
      <c r="AL62" s="925"/>
      <c r="AM62" s="925"/>
      <c r="AN62" s="925"/>
      <c r="AO62" s="925"/>
      <c r="AP62" s="925"/>
      <c r="AQ62" s="925"/>
      <c r="AR62" s="925"/>
      <c r="AS62" s="925"/>
      <c r="AT62" s="925"/>
      <c r="AU62" s="925"/>
      <c r="AV62" s="925"/>
      <c r="AW62" s="925"/>
      <c r="AX62" s="925"/>
      <c r="AY62" s="925"/>
      <c r="AZ62" s="925"/>
      <c r="BA62" s="925"/>
      <c r="BB62" s="925"/>
      <c r="BC62" s="925"/>
      <c r="BD62" s="925"/>
      <c r="BE62" s="925"/>
      <c r="BF62" s="925"/>
      <c r="BG62" s="925"/>
      <c r="BH62" s="925"/>
      <c r="BI62" s="925"/>
      <c r="BJ62" s="925"/>
      <c r="BK62" s="925"/>
      <c r="BL62" s="925"/>
      <c r="BM62" s="925"/>
      <c r="BN62" s="925"/>
      <c r="BO62" s="925"/>
      <c r="BP62" s="925"/>
      <c r="BQ62" s="925"/>
      <c r="BR62" s="925"/>
      <c r="BS62" s="925"/>
      <c r="BT62" s="925"/>
      <c r="BU62" s="925"/>
      <c r="BV62" s="925"/>
      <c r="BW62" s="925"/>
      <c r="BX62" s="925"/>
      <c r="BY62" s="925"/>
      <c r="BZ62" s="925"/>
      <c r="CA62" s="925"/>
      <c r="CB62" s="925"/>
      <c r="CC62" s="925"/>
      <c r="CD62" s="925"/>
      <c r="CE62" s="925"/>
      <c r="CF62" s="925"/>
      <c r="CG62" s="925"/>
      <c r="CH62" s="925"/>
      <c r="CI62" s="925"/>
      <c r="CJ62" s="925"/>
      <c r="CK62" s="925"/>
      <c r="CL62" s="925"/>
      <c r="CM62" s="925"/>
      <c r="CN62" s="925"/>
      <c r="CO62" s="925"/>
      <c r="CP62" s="925"/>
      <c r="CQ62" s="925"/>
      <c r="CR62" s="925"/>
      <c r="CS62" s="925"/>
      <c r="CT62" s="925"/>
      <c r="CU62" s="925"/>
      <c r="CV62" s="925"/>
      <c r="CW62" s="925"/>
      <c r="CX62" s="925"/>
      <c r="CY62" s="925"/>
      <c r="CZ62" s="925"/>
      <c r="DA62" s="925"/>
      <c r="DB62" s="925"/>
      <c r="DC62" s="925"/>
      <c r="DD62" s="925"/>
      <c r="DE62" s="925"/>
      <c r="DF62" s="925"/>
      <c r="DG62" s="925"/>
      <c r="DH62" s="925"/>
      <c r="DI62" s="925"/>
      <c r="DJ62" s="925"/>
      <c r="DK62" s="925"/>
      <c r="DL62" s="925"/>
      <c r="DM62" s="925"/>
      <c r="DN62" s="925"/>
      <c r="DO62" s="925"/>
      <c r="DP62" s="925"/>
      <c r="DQ62" s="925"/>
      <c r="DR62" s="925"/>
      <c r="DS62" s="925"/>
      <c r="DT62" s="925"/>
      <c r="DU62" s="925"/>
      <c r="DV62" s="925"/>
      <c r="DW62" s="925"/>
      <c r="DX62" s="925"/>
      <c r="DY62" s="925"/>
      <c r="DZ62" s="925"/>
      <c r="EA62" s="925"/>
      <c r="EB62" s="925"/>
      <c r="EC62" s="925"/>
      <c r="ED62" s="925"/>
      <c r="EE62" s="925"/>
      <c r="EF62" s="925"/>
      <c r="EG62" s="925"/>
      <c r="EH62" s="925"/>
      <c r="EI62" s="925"/>
      <c r="EJ62" s="925"/>
      <c r="EK62" s="925"/>
      <c r="EL62" s="925"/>
      <c r="EM62" s="925"/>
      <c r="EN62" s="925"/>
      <c r="EO62" s="925"/>
      <c r="EP62" s="925"/>
      <c r="EQ62" s="925"/>
      <c r="ER62" s="925"/>
      <c r="ES62" s="925"/>
      <c r="ET62" s="925"/>
      <c r="EU62" s="925"/>
      <c r="EV62" s="925"/>
      <c r="EW62" s="925"/>
      <c r="EX62" s="925"/>
      <c r="EY62" s="925"/>
      <c r="EZ62" s="925"/>
      <c r="FA62" s="925"/>
      <c r="FB62" s="925"/>
      <c r="FC62" s="925"/>
      <c r="FD62" s="925"/>
      <c r="FE62" s="925"/>
      <c r="FF62" s="925"/>
      <c r="FG62" s="925"/>
      <c r="FH62" s="925"/>
      <c r="FI62" s="925"/>
      <c r="FJ62" s="925"/>
      <c r="FK62" s="925"/>
      <c r="FL62" s="925"/>
      <c r="FM62" s="925"/>
      <c r="FN62" s="925"/>
      <c r="FO62" s="925"/>
      <c r="FP62" s="925"/>
      <c r="FQ62" s="925"/>
      <c r="FR62" s="925"/>
      <c r="FS62" s="925"/>
      <c r="FT62" s="925"/>
      <c r="FU62" s="925"/>
      <c r="FV62" s="925"/>
      <c r="FW62" s="925"/>
      <c r="FX62" s="925"/>
      <c r="FY62" s="925"/>
      <c r="FZ62" s="925"/>
      <c r="GA62" s="925"/>
      <c r="GB62" s="925"/>
      <c r="GC62" s="925"/>
      <c r="GD62" s="925"/>
      <c r="GE62" s="925"/>
      <c r="GF62" s="925"/>
      <c r="GG62" s="925"/>
      <c r="GH62" s="925"/>
      <c r="GI62" s="925"/>
      <c r="GJ62" s="925"/>
      <c r="GK62" s="925"/>
      <c r="GL62" s="925"/>
      <c r="GM62" s="925"/>
      <c r="GN62" s="925"/>
    </row>
    <row r="63" spans="1:196" s="525" customFormat="1" ht="14.4" hidden="1" outlineLevel="1" thickBot="1" x14ac:dyDescent="0.3">
      <c r="A63" s="920"/>
      <c r="B63" s="810"/>
      <c r="C63" s="923"/>
      <c r="D63" s="923"/>
      <c r="E63" s="523"/>
      <c r="F63" s="539" t="s">
        <v>555</v>
      </c>
      <c r="G63" s="505">
        <v>28200</v>
      </c>
      <c r="H63" s="505">
        <v>18000</v>
      </c>
      <c r="I63" s="510">
        <f t="shared" si="4"/>
        <v>-10200</v>
      </c>
      <c r="J63" s="876">
        <f t="shared" si="6"/>
        <v>-0.36170212765957449</v>
      </c>
      <c r="K63" s="526"/>
      <c r="L63" s="507"/>
      <c r="M63" s="1112" t="s">
        <v>289</v>
      </c>
      <c r="N63" s="1115">
        <v>49150924.721166946</v>
      </c>
      <c r="O63" s="1119" t="e">
        <f>N63-SUM(H47:H56)</f>
        <v>#REF!</v>
      </c>
      <c r="P63" s="515"/>
      <c r="Q63" s="515"/>
      <c r="R63" s="515"/>
      <c r="S63" s="515"/>
      <c r="T63" s="515"/>
      <c r="U63" s="515"/>
      <c r="V63" s="515"/>
      <c r="W63" s="515"/>
      <c r="X63" s="515"/>
      <c r="Y63" s="515"/>
      <c r="Z63" s="515"/>
      <c r="AA63" s="515"/>
      <c r="AB63" s="515"/>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5"/>
      <c r="AZ63" s="515"/>
      <c r="BA63" s="515"/>
      <c r="BB63" s="515"/>
      <c r="BC63" s="515"/>
      <c r="BD63" s="515"/>
      <c r="BE63" s="515"/>
      <c r="BF63" s="515"/>
      <c r="BG63" s="515"/>
      <c r="BH63" s="515"/>
      <c r="BI63" s="515"/>
      <c r="BJ63" s="515"/>
      <c r="BK63" s="515"/>
      <c r="BL63" s="515"/>
      <c r="BM63" s="515"/>
      <c r="BN63" s="515"/>
      <c r="BO63" s="515"/>
      <c r="BP63" s="515"/>
      <c r="BQ63" s="515"/>
      <c r="BR63" s="515"/>
      <c r="BS63" s="515"/>
      <c r="BT63" s="515"/>
      <c r="BU63" s="515"/>
      <c r="BV63" s="515"/>
      <c r="BW63" s="515"/>
      <c r="BX63" s="515"/>
      <c r="BY63" s="515"/>
      <c r="BZ63" s="515"/>
      <c r="CA63" s="515"/>
      <c r="CB63" s="515"/>
      <c r="CC63" s="515"/>
      <c r="CD63" s="515"/>
      <c r="CE63" s="515"/>
      <c r="CF63" s="515"/>
      <c r="CG63" s="515"/>
      <c r="CH63" s="515"/>
      <c r="CI63" s="515"/>
      <c r="CJ63" s="515"/>
      <c r="CK63" s="515"/>
      <c r="CL63" s="515"/>
      <c r="CM63" s="515"/>
      <c r="CN63" s="515"/>
      <c r="CO63" s="515"/>
      <c r="CP63" s="515"/>
      <c r="CQ63" s="515"/>
      <c r="CR63" s="515"/>
      <c r="CS63" s="515"/>
      <c r="CT63" s="515"/>
      <c r="CU63" s="515"/>
      <c r="CV63" s="515"/>
      <c r="CW63" s="515"/>
      <c r="CX63" s="515"/>
      <c r="CY63" s="515"/>
      <c r="CZ63" s="515"/>
      <c r="DA63" s="515"/>
      <c r="DB63" s="515"/>
      <c r="DC63" s="515"/>
      <c r="DD63" s="515"/>
      <c r="DE63" s="515"/>
      <c r="DF63" s="515"/>
      <c r="DG63" s="515"/>
      <c r="DH63" s="515"/>
      <c r="DI63" s="515"/>
      <c r="DJ63" s="515"/>
      <c r="DK63" s="515"/>
      <c r="DL63" s="515"/>
      <c r="DM63" s="515"/>
      <c r="DN63" s="515"/>
      <c r="DO63" s="515"/>
      <c r="DP63" s="515"/>
      <c r="DQ63" s="515"/>
      <c r="DR63" s="515"/>
      <c r="DS63" s="515"/>
      <c r="DT63" s="515"/>
      <c r="DU63" s="515"/>
      <c r="DV63" s="515"/>
      <c r="DW63" s="515"/>
      <c r="DX63" s="515"/>
      <c r="DY63" s="515"/>
      <c r="DZ63" s="515"/>
      <c r="EA63" s="515"/>
      <c r="EB63" s="515"/>
      <c r="EC63" s="515"/>
      <c r="ED63" s="515"/>
      <c r="EE63" s="515"/>
      <c r="EF63" s="515"/>
      <c r="EG63" s="515"/>
      <c r="EH63" s="515"/>
      <c r="EI63" s="515"/>
      <c r="EJ63" s="515"/>
      <c r="EK63" s="515"/>
      <c r="EL63" s="515"/>
      <c r="EM63" s="515"/>
      <c r="EN63" s="515"/>
      <c r="EO63" s="515"/>
      <c r="EP63" s="515"/>
      <c r="EQ63" s="515"/>
      <c r="ER63" s="515"/>
      <c r="ES63" s="515"/>
      <c r="ET63" s="515"/>
      <c r="EU63" s="515"/>
      <c r="EV63" s="515"/>
      <c r="EW63" s="515"/>
      <c r="EX63" s="515"/>
      <c r="EY63" s="515"/>
      <c r="EZ63" s="515"/>
      <c r="FA63" s="515"/>
      <c r="FB63" s="515"/>
      <c r="FC63" s="515"/>
      <c r="FD63" s="515"/>
      <c r="FE63" s="515"/>
      <c r="FF63" s="515"/>
      <c r="FG63" s="515"/>
      <c r="FH63" s="515"/>
      <c r="FI63" s="515"/>
      <c r="FJ63" s="515"/>
      <c r="FK63" s="515"/>
      <c r="FL63" s="515"/>
      <c r="FM63" s="515"/>
      <c r="FN63" s="515"/>
      <c r="FO63" s="515"/>
      <c r="FP63" s="515"/>
      <c r="FQ63" s="515"/>
      <c r="FR63" s="515"/>
      <c r="FS63" s="515"/>
      <c r="FT63" s="515"/>
      <c r="FU63" s="515"/>
      <c r="FV63" s="515"/>
      <c r="FW63" s="515"/>
      <c r="FX63" s="515"/>
      <c r="FY63" s="515"/>
      <c r="FZ63" s="515"/>
      <c r="GA63" s="515"/>
      <c r="GB63" s="515"/>
      <c r="GC63" s="515"/>
      <c r="GD63" s="515"/>
      <c r="GE63" s="515"/>
      <c r="GF63" s="515"/>
      <c r="GG63" s="515"/>
      <c r="GH63" s="515"/>
      <c r="GI63" s="515"/>
      <c r="GJ63" s="515"/>
      <c r="GK63" s="515"/>
      <c r="GL63" s="515"/>
      <c r="GM63" s="515"/>
      <c r="GN63" s="515"/>
    </row>
    <row r="64" spans="1:196" ht="13.8" collapsed="1" x14ac:dyDescent="0.25">
      <c r="C64" s="923">
        <f>1887014-G68</f>
        <v>1876814</v>
      </c>
      <c r="D64" s="923">
        <f>C64-G64</f>
        <v>40982.674998302478</v>
      </c>
      <c r="E64" s="141" t="s">
        <v>7</v>
      </c>
      <c r="F64" s="142" t="s">
        <v>199</v>
      </c>
      <c r="G64" s="1">
        <v>1835831.3250016975</v>
      </c>
      <c r="H64" s="931">
        <v>1918361.6584981189</v>
      </c>
      <c r="I64" s="132">
        <f t="shared" si="4"/>
        <v>82530.333496421343</v>
      </c>
      <c r="J64" s="867">
        <f t="shared" si="6"/>
        <v>4.4955292118868832E-2</v>
      </c>
      <c r="K64" s="418"/>
      <c r="L64" s="224"/>
    </row>
    <row r="65" spans="1:196" s="104" customFormat="1" ht="14.4" hidden="1" outlineLevel="1" thickBot="1" x14ac:dyDescent="0.3">
      <c r="A65" s="810" t="s">
        <v>226</v>
      </c>
      <c r="B65" s="810" t="s">
        <v>228</v>
      </c>
      <c r="C65" s="923"/>
      <c r="D65" s="923"/>
      <c r="E65" s="159"/>
      <c r="F65" s="215" t="s">
        <v>228</v>
      </c>
      <c r="G65" s="296">
        <v>1470888</v>
      </c>
      <c r="H65" s="932">
        <v>1598182.3225981188</v>
      </c>
      <c r="I65" s="153">
        <f t="shared" si="4"/>
        <v>127294.3225981188</v>
      </c>
      <c r="J65" s="878">
        <f t="shared" si="6"/>
        <v>8.6542498543817611E-2</v>
      </c>
      <c r="K65" s="1131" t="s">
        <v>1186</v>
      </c>
      <c r="L65" s="224"/>
      <c r="M65" s="1128" t="s">
        <v>1445</v>
      </c>
      <c r="N65" s="1128"/>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row>
    <row r="66" spans="1:196" s="104" customFormat="1" ht="66.599999999999994" hidden="1" customHeight="1" outlineLevel="1" x14ac:dyDescent="0.25">
      <c r="A66" s="810" t="s">
        <v>226</v>
      </c>
      <c r="B66" s="810" t="s">
        <v>554</v>
      </c>
      <c r="C66" s="923"/>
      <c r="D66" s="923"/>
      <c r="E66" s="214"/>
      <c r="F66" s="160" t="s">
        <v>198</v>
      </c>
      <c r="G66" s="296">
        <v>345143.32500169752</v>
      </c>
      <c r="H66" s="932">
        <v>307579.33590000001</v>
      </c>
      <c r="I66" s="153">
        <f t="shared" si="4"/>
        <v>-37563.989101697516</v>
      </c>
      <c r="J66" s="878">
        <f>IFERROR(I66/G66,"-")</f>
        <v>-0.1088359136063627</v>
      </c>
      <c r="K66" s="1132" t="s">
        <v>1606</v>
      </c>
      <c r="L66" s="224"/>
      <c r="M66" s="1111" t="s">
        <v>153</v>
      </c>
      <c r="N66" s="1116" t="s">
        <v>1158</v>
      </c>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row>
    <row r="67" spans="1:196" s="104" customFormat="1" ht="13.8" hidden="1" outlineLevel="1" x14ac:dyDescent="0.25">
      <c r="A67" s="810" t="s">
        <v>226</v>
      </c>
      <c r="B67" s="810" t="s">
        <v>556</v>
      </c>
      <c r="C67" s="923"/>
      <c r="D67" s="923"/>
      <c r="E67" s="159"/>
      <c r="F67" s="160" t="s">
        <v>197</v>
      </c>
      <c r="G67" s="296">
        <v>19800</v>
      </c>
      <c r="H67" s="932">
        <v>12600</v>
      </c>
      <c r="I67" s="153">
        <f t="shared" si="4"/>
        <v>-7200</v>
      </c>
      <c r="J67" s="878">
        <f t="shared" si="6"/>
        <v>-0.36363636363636365</v>
      </c>
      <c r="K67" s="1131" t="s">
        <v>1611</v>
      </c>
      <c r="L67" s="224"/>
      <c r="M67" s="107" t="s">
        <v>228</v>
      </c>
      <c r="N67" s="1114">
        <v>9153</v>
      </c>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row>
    <row r="68" spans="1:196" s="216" customFormat="1" ht="13.8" hidden="1" outlineLevel="1" x14ac:dyDescent="0.25">
      <c r="A68" s="810" t="s">
        <v>226</v>
      </c>
      <c r="B68" s="810" t="s">
        <v>555</v>
      </c>
      <c r="C68" s="923"/>
      <c r="D68" s="923"/>
      <c r="E68" s="159"/>
      <c r="F68" s="163" t="s">
        <v>555</v>
      </c>
      <c r="G68" s="296">
        <v>10200</v>
      </c>
      <c r="H68" s="932">
        <v>0</v>
      </c>
      <c r="I68" s="299">
        <f t="shared" si="4"/>
        <v>-10200</v>
      </c>
      <c r="J68" s="879">
        <f t="shared" si="6"/>
        <v>-1</v>
      </c>
      <c r="K68" s="812"/>
      <c r="L68" s="224"/>
      <c r="M68" s="107" t="s">
        <v>182</v>
      </c>
      <c r="N68" s="1114">
        <v>47445</v>
      </c>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c r="DK68" s="223"/>
      <c r="DL68" s="223"/>
      <c r="DM68" s="223"/>
      <c r="DN68" s="223"/>
      <c r="DO68" s="223"/>
      <c r="DP68" s="223"/>
      <c r="DQ68" s="223"/>
      <c r="DR68" s="223"/>
      <c r="DS68" s="223"/>
      <c r="DT68" s="223"/>
      <c r="DU68" s="223"/>
      <c r="DV68" s="223"/>
      <c r="DW68" s="223"/>
      <c r="DX68" s="223"/>
      <c r="DY68" s="223"/>
      <c r="DZ68" s="223"/>
      <c r="EA68" s="223"/>
      <c r="EB68" s="223"/>
      <c r="EC68" s="223"/>
      <c r="ED68" s="223"/>
      <c r="EE68" s="223"/>
      <c r="EF68" s="223"/>
      <c r="EG68" s="223"/>
      <c r="EH68" s="223"/>
      <c r="EI68" s="223"/>
      <c r="EJ68" s="223"/>
      <c r="EK68" s="223"/>
      <c r="EL68" s="223"/>
      <c r="EM68" s="223"/>
      <c r="EN68" s="223"/>
      <c r="EO68" s="223"/>
      <c r="EP68" s="223"/>
      <c r="EQ68" s="223"/>
      <c r="ER68" s="223"/>
      <c r="ES68" s="223"/>
      <c r="ET68" s="223"/>
      <c r="EU68" s="223"/>
      <c r="EV68" s="223"/>
      <c r="EW68" s="223"/>
      <c r="EX68" s="223"/>
      <c r="EY68" s="223"/>
      <c r="EZ68" s="223"/>
      <c r="FA68" s="223"/>
      <c r="FB68" s="223"/>
      <c r="FC68" s="223"/>
      <c r="FD68" s="223"/>
      <c r="FE68" s="223"/>
      <c r="FF68" s="223"/>
      <c r="FG68" s="223"/>
      <c r="FH68" s="223"/>
      <c r="FI68" s="223"/>
      <c r="FJ68" s="223"/>
      <c r="FK68" s="223"/>
      <c r="FL68" s="223"/>
      <c r="FM68" s="223"/>
      <c r="FN68" s="223"/>
      <c r="FO68" s="223"/>
      <c r="FP68" s="223"/>
      <c r="FQ68" s="223"/>
      <c r="FR68" s="223"/>
      <c r="FS68" s="223"/>
      <c r="FT68" s="223"/>
      <c r="FU68" s="223"/>
      <c r="FV68" s="223"/>
      <c r="FW68" s="223"/>
      <c r="FX68" s="223"/>
      <c r="FY68" s="223"/>
      <c r="FZ68" s="223"/>
      <c r="GA68" s="223"/>
      <c r="GB68" s="223"/>
      <c r="GC68" s="223"/>
      <c r="GD68" s="223"/>
      <c r="GE68" s="223"/>
      <c r="GF68" s="223"/>
      <c r="GG68" s="223"/>
      <c r="GH68" s="223"/>
      <c r="GI68" s="223"/>
      <c r="GJ68" s="223"/>
      <c r="GK68" s="223"/>
      <c r="GL68" s="223"/>
      <c r="GM68" s="223"/>
      <c r="GN68" s="223"/>
    </row>
    <row r="69" spans="1:196" ht="13.8" collapsed="1" x14ac:dyDescent="0.25">
      <c r="A69" s="810" t="s">
        <v>757</v>
      </c>
      <c r="C69" s="923">
        <v>323499</v>
      </c>
      <c r="D69" s="923">
        <f>C69-G69</f>
        <v>0</v>
      </c>
      <c r="E69" s="141" t="s">
        <v>8</v>
      </c>
      <c r="F69" s="142" t="s">
        <v>69</v>
      </c>
      <c r="G69" s="132">
        <v>323499</v>
      </c>
      <c r="H69" s="302">
        <v>355818.96720568801</v>
      </c>
      <c r="I69" s="132">
        <f t="shared" si="4"/>
        <v>32319.967205688008</v>
      </c>
      <c r="J69" s="867">
        <f t="shared" si="6"/>
        <v>9.9907471756289848E-2</v>
      </c>
      <c r="K69" s="1133" t="s">
        <v>1262</v>
      </c>
      <c r="L69" s="224"/>
      <c r="M69" s="107" t="s">
        <v>554</v>
      </c>
      <c r="N69" s="1114">
        <v>66587.600000000006</v>
      </c>
    </row>
    <row r="70" spans="1:196" ht="13.8" x14ac:dyDescent="0.25">
      <c r="C70" s="923">
        <v>55123</v>
      </c>
      <c r="D70" s="923">
        <f>C70-G70</f>
        <v>0</v>
      </c>
      <c r="E70" s="141" t="s">
        <v>70</v>
      </c>
      <c r="F70" s="142" t="s">
        <v>71</v>
      </c>
      <c r="G70" s="132">
        <v>55123</v>
      </c>
      <c r="H70" s="132">
        <v>58895.469599999997</v>
      </c>
      <c r="I70" s="132">
        <f t="shared" si="4"/>
        <v>3772.4695999999967</v>
      </c>
      <c r="J70" s="867">
        <f t="shared" si="6"/>
        <v>6.8437305661883371E-2</v>
      </c>
      <c r="K70" s="1133" t="s">
        <v>1262</v>
      </c>
      <c r="L70" s="224"/>
      <c r="M70" s="107" t="s">
        <v>555</v>
      </c>
      <c r="N70" s="1114">
        <v>11960</v>
      </c>
    </row>
    <row r="71" spans="1:196" s="104" customFormat="1" ht="13.8" hidden="1" outlineLevel="1" x14ac:dyDescent="0.25">
      <c r="A71" s="810" t="s">
        <v>720</v>
      </c>
      <c r="B71" s="810" t="s">
        <v>228</v>
      </c>
      <c r="C71" s="923"/>
      <c r="D71" s="923"/>
      <c r="E71" s="159"/>
      <c r="F71" s="215" t="s">
        <v>228</v>
      </c>
      <c r="G71" s="296">
        <v>50738</v>
      </c>
      <c r="H71" s="304">
        <v>55310.469599999997</v>
      </c>
      <c r="I71" s="153">
        <f>H71-G71</f>
        <v>4572.4695999999967</v>
      </c>
      <c r="J71" s="878">
        <f t="shared" si="6"/>
        <v>9.0119232133706428E-2</v>
      </c>
      <c r="K71" s="1131" t="s">
        <v>1186</v>
      </c>
      <c r="L71" s="224"/>
      <c r="M71" s="107" t="s">
        <v>357</v>
      </c>
      <c r="N71" s="1114"/>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row>
    <row r="72" spans="1:196" s="104" customFormat="1" ht="14.4" hidden="1" outlineLevel="1" thickBot="1" x14ac:dyDescent="0.3">
      <c r="A72" s="810" t="s">
        <v>720</v>
      </c>
      <c r="B72" s="810" t="s">
        <v>554</v>
      </c>
      <c r="C72" s="923"/>
      <c r="D72" s="923"/>
      <c r="E72" s="214"/>
      <c r="F72" s="160" t="s">
        <v>198</v>
      </c>
      <c r="G72" s="296">
        <v>3085</v>
      </c>
      <c r="H72" s="304">
        <v>3585</v>
      </c>
      <c r="I72" s="153">
        <f>H72-G72</f>
        <v>500</v>
      </c>
      <c r="J72" s="878">
        <f t="shared" si="6"/>
        <v>0.16207455429497569</v>
      </c>
      <c r="K72" s="1134"/>
      <c r="L72" s="224"/>
      <c r="M72" s="1112" t="s">
        <v>289</v>
      </c>
      <c r="N72" s="1115">
        <v>135145.60000000001</v>
      </c>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row>
    <row r="73" spans="1:196" s="104" customFormat="1" ht="13.8" hidden="1" outlineLevel="1" x14ac:dyDescent="0.25">
      <c r="A73" s="810" t="s">
        <v>720</v>
      </c>
      <c r="B73" s="810" t="s">
        <v>556</v>
      </c>
      <c r="C73" s="923"/>
      <c r="D73" s="923"/>
      <c r="E73" s="159"/>
      <c r="F73" s="160" t="s">
        <v>197</v>
      </c>
      <c r="G73" s="296">
        <v>1300</v>
      </c>
      <c r="H73" s="307">
        <v>0</v>
      </c>
      <c r="I73" s="153">
        <f>H73-G73</f>
        <v>-1300</v>
      </c>
      <c r="J73" s="878">
        <f t="shared" si="6"/>
        <v>-1</v>
      </c>
      <c r="K73" s="1132"/>
      <c r="L73" s="224"/>
      <c r="M73" s="107"/>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row>
    <row r="74" spans="1:196" s="216" customFormat="1" ht="13.8" hidden="1" outlineLevel="1" x14ac:dyDescent="0.25">
      <c r="A74" s="810" t="s">
        <v>720</v>
      </c>
      <c r="B74" s="810" t="s">
        <v>555</v>
      </c>
      <c r="C74" s="923"/>
      <c r="D74" s="923"/>
      <c r="E74" s="162"/>
      <c r="F74" s="163" t="s">
        <v>555</v>
      </c>
      <c r="G74" s="296">
        <v>0</v>
      </c>
      <c r="H74" s="307">
        <v>0</v>
      </c>
      <c r="I74" s="299">
        <f>H74-G74</f>
        <v>0</v>
      </c>
      <c r="J74" s="879" t="str">
        <f t="shared" si="6"/>
        <v>-</v>
      </c>
      <c r="K74" s="1135"/>
      <c r="L74" s="224"/>
      <c r="M74" s="1120"/>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c r="DK74" s="223"/>
      <c r="DL74" s="223"/>
      <c r="DM74" s="223"/>
      <c r="DN74" s="223"/>
      <c r="DO74" s="223"/>
      <c r="DP74" s="223"/>
      <c r="DQ74" s="223"/>
      <c r="DR74" s="223"/>
      <c r="DS74" s="223"/>
      <c r="DT74" s="223"/>
      <c r="DU74" s="223"/>
      <c r="DV74" s="223"/>
      <c r="DW74" s="223"/>
      <c r="DX74" s="223"/>
      <c r="DY74" s="223"/>
      <c r="DZ74" s="223"/>
      <c r="EA74" s="223"/>
      <c r="EB74" s="223"/>
      <c r="EC74" s="223"/>
      <c r="ED74" s="223"/>
      <c r="EE74" s="223"/>
      <c r="EF74" s="223"/>
      <c r="EG74" s="223"/>
      <c r="EH74" s="223"/>
      <c r="EI74" s="223"/>
      <c r="EJ74" s="223"/>
      <c r="EK74" s="223"/>
      <c r="EL74" s="223"/>
      <c r="EM74" s="223"/>
      <c r="EN74" s="223"/>
      <c r="EO74" s="223"/>
      <c r="EP74" s="223"/>
      <c r="EQ74" s="223"/>
      <c r="ER74" s="223"/>
      <c r="ES74" s="223"/>
      <c r="ET74" s="223"/>
      <c r="EU74" s="223"/>
      <c r="EV74" s="223"/>
      <c r="EW74" s="223"/>
      <c r="EX74" s="223"/>
      <c r="EY74" s="223"/>
      <c r="EZ74" s="223"/>
      <c r="FA74" s="223"/>
      <c r="FB74" s="223"/>
      <c r="FC74" s="223"/>
      <c r="FD74" s="223"/>
      <c r="FE74" s="223"/>
      <c r="FF74" s="223"/>
      <c r="FG74" s="223"/>
      <c r="FH74" s="223"/>
      <c r="FI74" s="223"/>
      <c r="FJ74" s="223"/>
      <c r="FK74" s="223"/>
      <c r="FL74" s="223"/>
      <c r="FM74" s="223"/>
      <c r="FN74" s="223"/>
      <c r="FO74" s="223"/>
      <c r="FP74" s="223"/>
      <c r="FQ74" s="223"/>
      <c r="FR74" s="223"/>
      <c r="FS74" s="223"/>
      <c r="FT74" s="223"/>
      <c r="FU74" s="223"/>
      <c r="FV74" s="223"/>
      <c r="FW74" s="223"/>
      <c r="FX74" s="223"/>
      <c r="FY74" s="223"/>
      <c r="FZ74" s="223"/>
      <c r="GA74" s="223"/>
      <c r="GB74" s="223"/>
      <c r="GC74" s="223"/>
      <c r="GD74" s="223"/>
      <c r="GE74" s="223"/>
      <c r="GF74" s="223"/>
      <c r="GG74" s="223"/>
      <c r="GH74" s="223"/>
      <c r="GI74" s="223"/>
      <c r="GJ74" s="223"/>
      <c r="GK74" s="223"/>
      <c r="GL74" s="223"/>
      <c r="GM74" s="223"/>
      <c r="GN74" s="223"/>
    </row>
    <row r="75" spans="1:196" ht="16.2" customHeight="1" collapsed="1" x14ac:dyDescent="0.25">
      <c r="A75" s="810" t="s">
        <v>759</v>
      </c>
      <c r="C75" s="923">
        <v>45786</v>
      </c>
      <c r="D75" s="923">
        <f t="shared" ref="D75:D82" si="8">C75-G75</f>
        <v>0.36800000000221189</v>
      </c>
      <c r="E75" s="141" t="s">
        <v>72</v>
      </c>
      <c r="F75" s="142" t="s">
        <v>73</v>
      </c>
      <c r="G75" s="132">
        <v>45785.631999999998</v>
      </c>
      <c r="H75" s="302">
        <v>50294.195200000002</v>
      </c>
      <c r="I75" s="132">
        <f t="shared" si="4"/>
        <v>4508.5632000000041</v>
      </c>
      <c r="J75" s="867">
        <f t="shared" si="6"/>
        <v>9.8471136097892112E-2</v>
      </c>
      <c r="K75" s="1133" t="s">
        <v>1262</v>
      </c>
      <c r="L75" s="224"/>
    </row>
    <row r="76" spans="1:196" ht="13.8" x14ac:dyDescent="0.25">
      <c r="A76" s="810" t="s">
        <v>785</v>
      </c>
      <c r="C76" s="923">
        <v>37233</v>
      </c>
      <c r="D76" s="923">
        <f t="shared" si="8"/>
        <v>0</v>
      </c>
      <c r="E76" s="141" t="s">
        <v>74</v>
      </c>
      <c r="F76" s="142" t="s">
        <v>75</v>
      </c>
      <c r="G76" s="132">
        <v>37233</v>
      </c>
      <c r="H76" s="302">
        <v>6587.5</v>
      </c>
      <c r="I76" s="132">
        <f t="shared" si="4"/>
        <v>-30645.5</v>
      </c>
      <c r="J76" s="867">
        <f t="shared" si="6"/>
        <v>-0.82307361748986119</v>
      </c>
      <c r="K76" s="1136"/>
      <c r="L76" s="224"/>
    </row>
    <row r="77" spans="1:196" ht="13.8" x14ac:dyDescent="0.25">
      <c r="C77" s="923">
        <v>58875</v>
      </c>
      <c r="D77" s="923">
        <f t="shared" si="8"/>
        <v>0.18951999999990221</v>
      </c>
      <c r="E77" s="141" t="s">
        <v>76</v>
      </c>
      <c r="F77" s="142" t="s">
        <v>78</v>
      </c>
      <c r="G77" s="132">
        <v>58874.81048</v>
      </c>
      <c r="H77" s="132">
        <v>79620.138309999995</v>
      </c>
      <c r="I77" s="132">
        <f t="shared" si="4"/>
        <v>20745.327829999995</v>
      </c>
      <c r="J77" s="867">
        <f t="shared" si="6"/>
        <v>0.35236339040186399</v>
      </c>
      <c r="K77" s="1137" t="s">
        <v>1263</v>
      </c>
      <c r="L77" s="224"/>
    </row>
    <row r="78" spans="1:196" s="104" customFormat="1" ht="13.8" hidden="1" outlineLevel="1" x14ac:dyDescent="0.25">
      <c r="A78" s="810" t="s">
        <v>373</v>
      </c>
      <c r="B78" s="810" t="s">
        <v>228</v>
      </c>
      <c r="C78" s="923"/>
      <c r="D78" s="923"/>
      <c r="E78" s="159"/>
      <c r="F78" s="215" t="s">
        <v>228</v>
      </c>
      <c r="G78" s="296">
        <v>58874.81048</v>
      </c>
      <c r="H78" s="304">
        <v>64620.138309999995</v>
      </c>
      <c r="I78" s="153">
        <f>H78-G78</f>
        <v>5745.3278299999947</v>
      </c>
      <c r="J78" s="878">
        <f t="shared" ref="J78:J79" si="9">IFERROR(I78/G78,"-")</f>
        <v>9.7585500202190964E-2</v>
      </c>
      <c r="K78" s="1131" t="s">
        <v>1186</v>
      </c>
      <c r="L78" s="224"/>
      <c r="M78" s="107"/>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row>
    <row r="79" spans="1:196" s="104" customFormat="1" ht="13.8" hidden="1" outlineLevel="1" x14ac:dyDescent="0.25">
      <c r="A79" s="810" t="s">
        <v>373</v>
      </c>
      <c r="B79" s="810" t="s">
        <v>554</v>
      </c>
      <c r="C79" s="923"/>
      <c r="D79" s="923"/>
      <c r="E79" s="214"/>
      <c r="F79" s="160" t="s">
        <v>198</v>
      </c>
      <c r="G79" s="296">
        <v>0</v>
      </c>
      <c r="H79" s="304">
        <v>15000</v>
      </c>
      <c r="I79" s="153">
        <f>H79-G79</f>
        <v>15000</v>
      </c>
      <c r="J79" s="878" t="str">
        <f t="shared" si="9"/>
        <v>-</v>
      </c>
      <c r="K79" s="1131" t="s">
        <v>1436</v>
      </c>
      <c r="L79" s="224"/>
      <c r="M79" s="107"/>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row>
    <row r="80" spans="1:196" ht="27.6" collapsed="1" x14ac:dyDescent="0.25">
      <c r="A80" s="810" t="s">
        <v>226</v>
      </c>
      <c r="B80" s="810" t="s">
        <v>563</v>
      </c>
      <c r="C80" s="923">
        <v>159369</v>
      </c>
      <c r="D80" s="923">
        <f t="shared" si="8"/>
        <v>9.2545429099118337E-2</v>
      </c>
      <c r="E80" s="141" t="s">
        <v>77</v>
      </c>
      <c r="F80" s="142" t="s">
        <v>662</v>
      </c>
      <c r="G80" s="132">
        <v>159368.9074545709</v>
      </c>
      <c r="H80" s="132">
        <v>1047339.1639484835</v>
      </c>
      <c r="I80" s="132">
        <f t="shared" si="4"/>
        <v>887970.25649391266</v>
      </c>
      <c r="J80" s="867">
        <f t="shared" si="6"/>
        <v>5.5717910769202836</v>
      </c>
      <c r="K80" s="1137" t="s">
        <v>1187</v>
      </c>
      <c r="L80" s="224"/>
    </row>
    <row r="81" spans="1:196" ht="13.8" x14ac:dyDescent="0.25">
      <c r="A81" s="810" t="s">
        <v>226</v>
      </c>
      <c r="B81" s="810" t="s">
        <v>564</v>
      </c>
      <c r="C81" s="923">
        <v>5558962</v>
      </c>
      <c r="D81" s="923">
        <f t="shared" si="8"/>
        <v>-283950</v>
      </c>
      <c r="E81" s="141" t="s">
        <v>79</v>
      </c>
      <c r="F81" s="142" t="s">
        <v>80</v>
      </c>
      <c r="G81" s="132">
        <v>5842912</v>
      </c>
      <c r="H81" s="132">
        <v>4392666</v>
      </c>
      <c r="I81" s="132">
        <f t="shared" si="4"/>
        <v>-1450246</v>
      </c>
      <c r="J81" s="867">
        <f t="shared" si="6"/>
        <v>-0.24820603151305376</v>
      </c>
      <c r="K81" s="1133"/>
      <c r="L81" s="224"/>
    </row>
    <row r="82" spans="1:196" ht="13.8" x14ac:dyDescent="0.25">
      <c r="C82" s="923">
        <f>244439-G86</f>
        <v>226439</v>
      </c>
      <c r="D82" s="923">
        <f t="shared" si="8"/>
        <v>-40888</v>
      </c>
      <c r="E82" s="141" t="s">
        <v>381</v>
      </c>
      <c r="F82" s="142" t="s">
        <v>562</v>
      </c>
      <c r="G82" s="132">
        <v>267327</v>
      </c>
      <c r="H82" s="132">
        <v>351755.64443500002</v>
      </c>
      <c r="I82" s="132">
        <f t="shared" ref="I82:I87" si="10">H82-G82</f>
        <v>84428.644435000024</v>
      </c>
      <c r="J82" s="867">
        <f t="shared" si="6"/>
        <v>0.31582535409816453</v>
      </c>
      <c r="K82" s="1137"/>
      <c r="L82" s="224"/>
    </row>
    <row r="83" spans="1:196" s="104" customFormat="1" ht="13.8" hidden="1" outlineLevel="1" x14ac:dyDescent="0.25">
      <c r="A83" s="810" t="s">
        <v>760</v>
      </c>
      <c r="B83" s="810" t="s">
        <v>228</v>
      </c>
      <c r="C83" s="923"/>
      <c r="D83" s="923"/>
      <c r="E83" s="159"/>
      <c r="F83" s="215" t="s">
        <v>228</v>
      </c>
      <c r="G83" s="296">
        <v>126030</v>
      </c>
      <c r="H83" s="304">
        <v>135619.10443499999</v>
      </c>
      <c r="I83" s="153">
        <f t="shared" si="10"/>
        <v>9589.1044349999866</v>
      </c>
      <c r="J83" s="878">
        <f t="shared" si="6"/>
        <v>7.6085887764817797E-2</v>
      </c>
      <c r="K83" s="1131"/>
      <c r="L83" s="224"/>
      <c r="M83" s="107"/>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row>
    <row r="84" spans="1:196" s="104" customFormat="1" ht="13.8" hidden="1" outlineLevel="1" x14ac:dyDescent="0.25">
      <c r="A84" s="810" t="s">
        <v>760</v>
      </c>
      <c r="B84" s="810" t="s">
        <v>554</v>
      </c>
      <c r="C84" s="923"/>
      <c r="D84" s="923"/>
      <c r="E84" s="214"/>
      <c r="F84" s="160" t="s">
        <v>198</v>
      </c>
      <c r="G84" s="296">
        <v>118559</v>
      </c>
      <c r="H84" s="304">
        <v>185036.54</v>
      </c>
      <c r="I84" s="153">
        <f t="shared" si="10"/>
        <v>66477.540000000008</v>
      </c>
      <c r="J84" s="878">
        <f t="shared" si="6"/>
        <v>0.56071272530976146</v>
      </c>
      <c r="K84" s="1131" t="s">
        <v>1635</v>
      </c>
      <c r="L84" s="224"/>
      <c r="M84" s="107"/>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row>
    <row r="85" spans="1:196" s="104" customFormat="1" ht="13.8" hidden="1" outlineLevel="1" x14ac:dyDescent="0.25">
      <c r="A85" s="810" t="s">
        <v>760</v>
      </c>
      <c r="B85" s="810" t="s">
        <v>556</v>
      </c>
      <c r="C85" s="923"/>
      <c r="D85" s="923"/>
      <c r="E85" s="159"/>
      <c r="F85" s="160" t="s">
        <v>197</v>
      </c>
      <c r="G85" s="296">
        <v>22738</v>
      </c>
      <c r="H85" s="304">
        <v>31100</v>
      </c>
      <c r="I85" s="153">
        <f t="shared" si="10"/>
        <v>8362</v>
      </c>
      <c r="J85" s="878">
        <f t="shared" si="6"/>
        <v>0.3677544199138007</v>
      </c>
      <c r="K85" s="1132" t="s">
        <v>1428</v>
      </c>
      <c r="L85" s="224"/>
      <c r="M85" s="107"/>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row>
    <row r="86" spans="1:196" s="216" customFormat="1" ht="13.8" hidden="1" outlineLevel="1" x14ac:dyDescent="0.25">
      <c r="A86" s="810" t="s">
        <v>760</v>
      </c>
      <c r="B86" s="810" t="s">
        <v>555</v>
      </c>
      <c r="C86" s="923"/>
      <c r="D86" s="923"/>
      <c r="E86" s="162"/>
      <c r="F86" s="163" t="s">
        <v>555</v>
      </c>
      <c r="G86" s="296">
        <v>18000</v>
      </c>
      <c r="H86" s="304">
        <v>18000</v>
      </c>
      <c r="I86" s="299">
        <f t="shared" si="10"/>
        <v>0</v>
      </c>
      <c r="J86" s="879">
        <f t="shared" si="6"/>
        <v>0</v>
      </c>
      <c r="K86" s="1135"/>
      <c r="L86" s="224"/>
      <c r="M86" s="1120"/>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223"/>
      <c r="BP86" s="223"/>
      <c r="BQ86" s="223"/>
      <c r="BR86" s="223"/>
      <c r="BS86" s="223"/>
      <c r="BT86" s="223"/>
      <c r="BU86" s="223"/>
      <c r="BV86" s="223"/>
      <c r="BW86" s="223"/>
      <c r="BX86" s="223"/>
      <c r="BY86" s="223"/>
      <c r="BZ86" s="223"/>
      <c r="CA86" s="223"/>
      <c r="CB86" s="223"/>
      <c r="CC86" s="223"/>
      <c r="CD86" s="223"/>
      <c r="CE86" s="223"/>
      <c r="CF86" s="223"/>
      <c r="CG86" s="223"/>
      <c r="CH86" s="223"/>
      <c r="CI86" s="223"/>
      <c r="CJ86" s="223"/>
      <c r="CK86" s="223"/>
      <c r="CL86" s="223"/>
      <c r="CM86" s="223"/>
      <c r="CN86" s="223"/>
      <c r="CO86" s="223"/>
      <c r="CP86" s="223"/>
      <c r="CQ86" s="223"/>
      <c r="CR86" s="223"/>
      <c r="CS86" s="223"/>
      <c r="CT86" s="223"/>
      <c r="CU86" s="223"/>
      <c r="CV86" s="223"/>
      <c r="CW86" s="223"/>
      <c r="CX86" s="223"/>
      <c r="CY86" s="223"/>
      <c r="CZ86" s="223"/>
      <c r="DA86" s="223"/>
      <c r="DB86" s="223"/>
      <c r="DC86" s="223"/>
      <c r="DD86" s="223"/>
      <c r="DE86" s="223"/>
      <c r="DF86" s="223"/>
      <c r="DG86" s="223"/>
      <c r="DH86" s="223"/>
      <c r="DI86" s="223"/>
      <c r="DJ86" s="223"/>
      <c r="DK86" s="223"/>
      <c r="DL86" s="223"/>
      <c r="DM86" s="223"/>
      <c r="DN86" s="223"/>
      <c r="DO86" s="223"/>
      <c r="DP86" s="223"/>
      <c r="DQ86" s="223"/>
      <c r="DR86" s="223"/>
      <c r="DS86" s="223"/>
      <c r="DT86" s="223"/>
      <c r="DU86" s="223"/>
      <c r="DV86" s="223"/>
      <c r="DW86" s="223"/>
      <c r="DX86" s="223"/>
      <c r="DY86" s="223"/>
      <c r="DZ86" s="223"/>
      <c r="EA86" s="223"/>
      <c r="EB86" s="223"/>
      <c r="EC86" s="223"/>
      <c r="ED86" s="223"/>
      <c r="EE86" s="223"/>
      <c r="EF86" s="223"/>
      <c r="EG86" s="223"/>
      <c r="EH86" s="223"/>
      <c r="EI86" s="223"/>
      <c r="EJ86" s="223"/>
      <c r="EK86" s="223"/>
      <c r="EL86" s="223"/>
      <c r="EM86" s="223"/>
      <c r="EN86" s="223"/>
      <c r="EO86" s="223"/>
      <c r="EP86" s="223"/>
      <c r="EQ86" s="223"/>
      <c r="ER86" s="223"/>
      <c r="ES86" s="223"/>
      <c r="ET86" s="223"/>
      <c r="EU86" s="223"/>
      <c r="EV86" s="223"/>
      <c r="EW86" s="223"/>
      <c r="EX86" s="223"/>
      <c r="EY86" s="223"/>
      <c r="EZ86" s="223"/>
      <c r="FA86" s="223"/>
      <c r="FB86" s="223"/>
      <c r="FC86" s="223"/>
      <c r="FD86" s="223"/>
      <c r="FE86" s="223"/>
      <c r="FF86" s="223"/>
      <c r="FG86" s="223"/>
      <c r="FH86" s="223"/>
      <c r="FI86" s="223"/>
      <c r="FJ86" s="223"/>
      <c r="FK86" s="223"/>
      <c r="FL86" s="223"/>
      <c r="FM86" s="223"/>
      <c r="FN86" s="223"/>
      <c r="FO86" s="223"/>
      <c r="FP86" s="223"/>
      <c r="FQ86" s="223"/>
      <c r="FR86" s="223"/>
      <c r="FS86" s="223"/>
      <c r="FT86" s="223"/>
      <c r="FU86" s="223"/>
      <c r="FV86" s="223"/>
      <c r="FW86" s="223"/>
      <c r="FX86" s="223"/>
      <c r="FY86" s="223"/>
      <c r="FZ86" s="223"/>
      <c r="GA86" s="223"/>
      <c r="GB86" s="223"/>
      <c r="GC86" s="223"/>
      <c r="GD86" s="223"/>
      <c r="GE86" s="223"/>
      <c r="GF86" s="223"/>
      <c r="GG86" s="223"/>
      <c r="GH86" s="223"/>
      <c r="GI86" s="223"/>
      <c r="GJ86" s="223"/>
      <c r="GK86" s="223"/>
      <c r="GL86" s="223"/>
      <c r="GM86" s="223"/>
      <c r="GN86" s="223"/>
    </row>
    <row r="87" spans="1:196" ht="13.8" collapsed="1" x14ac:dyDescent="0.25">
      <c r="C87" s="923">
        <f>854522-G91</f>
        <v>850387</v>
      </c>
      <c r="D87" s="923">
        <f>C87-G87</f>
        <v>-0.64999999990686774</v>
      </c>
      <c r="E87" s="143" t="s">
        <v>10</v>
      </c>
      <c r="F87" s="144" t="s">
        <v>206</v>
      </c>
      <c r="G87" s="294">
        <v>850387.64999999991</v>
      </c>
      <c r="H87" s="295">
        <v>926669.29245700024</v>
      </c>
      <c r="I87" s="126">
        <f t="shared" si="10"/>
        <v>76281.642457000329</v>
      </c>
      <c r="J87" s="864">
        <f>IFERROR(I87/G87,"-")</f>
        <v>8.9702199293463791E-2</v>
      </c>
      <c r="K87" s="1138"/>
      <c r="L87" s="224"/>
    </row>
    <row r="88" spans="1:196" s="104" customFormat="1" ht="19.2" hidden="1" customHeight="1" outlineLevel="1" x14ac:dyDescent="0.25">
      <c r="A88" s="810" t="s">
        <v>744</v>
      </c>
      <c r="B88" s="810" t="s">
        <v>228</v>
      </c>
      <c r="C88" s="923"/>
      <c r="D88" s="923"/>
      <c r="E88" s="159"/>
      <c r="F88" s="215" t="s">
        <v>228</v>
      </c>
      <c r="G88" s="296">
        <v>725150.45</v>
      </c>
      <c r="H88" s="304">
        <v>773929.08845700021</v>
      </c>
      <c r="I88" s="153">
        <f t="shared" si="4"/>
        <v>48778.638457000256</v>
      </c>
      <c r="J88" s="878">
        <f t="shared" si="6"/>
        <v>6.7266921584341929E-2</v>
      </c>
      <c r="K88" s="998" t="s">
        <v>1264</v>
      </c>
      <c r="L88" s="155"/>
      <c r="M88" s="107"/>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row>
    <row r="89" spans="1:196" s="104" customFormat="1" ht="70.95" hidden="1" customHeight="1" outlineLevel="1" x14ac:dyDescent="0.25">
      <c r="A89" s="810" t="s">
        <v>744</v>
      </c>
      <c r="B89" s="810" t="s">
        <v>554</v>
      </c>
      <c r="C89" s="923"/>
      <c r="D89" s="923"/>
      <c r="E89" s="214"/>
      <c r="F89" s="160" t="s">
        <v>198</v>
      </c>
      <c r="G89" s="296">
        <v>118378.2</v>
      </c>
      <c r="H89" s="304">
        <v>142973.204</v>
      </c>
      <c r="I89" s="153">
        <f t="shared" si="4"/>
        <v>24595.004000000001</v>
      </c>
      <c r="J89" s="878">
        <f t="shared" si="6"/>
        <v>0.20776632859766411</v>
      </c>
      <c r="K89" s="1131" t="s">
        <v>1636</v>
      </c>
      <c r="L89" s="155"/>
      <c r="M89" s="107"/>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row>
    <row r="90" spans="1:196" s="104" customFormat="1" ht="13.8" hidden="1" outlineLevel="1" x14ac:dyDescent="0.25">
      <c r="A90" s="810" t="s">
        <v>744</v>
      </c>
      <c r="B90" s="810" t="s">
        <v>556</v>
      </c>
      <c r="C90" s="923"/>
      <c r="D90" s="923"/>
      <c r="E90" s="159"/>
      <c r="F90" s="160" t="s">
        <v>197</v>
      </c>
      <c r="G90" s="296">
        <v>6859</v>
      </c>
      <c r="H90" s="304">
        <v>9767</v>
      </c>
      <c r="I90" s="153">
        <f t="shared" si="4"/>
        <v>2908</v>
      </c>
      <c r="J90" s="878">
        <f t="shared" si="6"/>
        <v>0.42396850852894008</v>
      </c>
      <c r="K90" s="998" t="s">
        <v>1429</v>
      </c>
      <c r="L90" s="155"/>
      <c r="M90" s="107"/>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row>
    <row r="91" spans="1:196" s="525" customFormat="1" ht="13.8" hidden="1" outlineLevel="1" x14ac:dyDescent="0.25">
      <c r="A91" s="1415" t="s">
        <v>744</v>
      </c>
      <c r="B91" s="1415" t="s">
        <v>555</v>
      </c>
      <c r="C91" s="1416"/>
      <c r="D91" s="1416"/>
      <c r="E91" s="523"/>
      <c r="F91" s="520" t="s">
        <v>555</v>
      </c>
      <c r="G91" s="505">
        <v>4135</v>
      </c>
      <c r="H91" s="505">
        <v>11400</v>
      </c>
      <c r="I91" s="510">
        <f t="shared" si="4"/>
        <v>7265</v>
      </c>
      <c r="J91" s="876">
        <f t="shared" si="6"/>
        <v>1.7569528415961306</v>
      </c>
      <c r="K91" s="1141"/>
      <c r="L91" s="515"/>
      <c r="M91" s="1122"/>
      <c r="N91" s="515"/>
      <c r="O91" s="515"/>
      <c r="P91" s="515"/>
      <c r="Q91" s="515"/>
      <c r="R91" s="515"/>
      <c r="S91" s="515"/>
      <c r="T91" s="515"/>
      <c r="U91" s="515"/>
      <c r="V91" s="515"/>
      <c r="W91" s="515"/>
      <c r="X91" s="515"/>
      <c r="Y91" s="515"/>
      <c r="Z91" s="515"/>
      <c r="AA91" s="515"/>
      <c r="AB91" s="515"/>
      <c r="AC91" s="515"/>
      <c r="AD91" s="515"/>
      <c r="AE91" s="515"/>
      <c r="AF91" s="515"/>
      <c r="AG91" s="515"/>
      <c r="AH91" s="515"/>
      <c r="AI91" s="515"/>
      <c r="AJ91" s="515"/>
      <c r="AK91" s="515"/>
      <c r="AL91" s="515"/>
      <c r="AM91" s="515"/>
      <c r="AN91" s="515"/>
      <c r="AO91" s="515"/>
      <c r="AP91" s="515"/>
      <c r="AQ91" s="515"/>
      <c r="AR91" s="515"/>
      <c r="AS91" s="515"/>
      <c r="AT91" s="515"/>
      <c r="AU91" s="515"/>
      <c r="AV91" s="515"/>
      <c r="AW91" s="515"/>
      <c r="AX91" s="515"/>
      <c r="AY91" s="515"/>
      <c r="AZ91" s="515"/>
      <c r="BA91" s="515"/>
      <c r="BB91" s="515"/>
      <c r="BC91" s="515"/>
      <c r="BD91" s="515"/>
      <c r="BE91" s="515"/>
      <c r="BF91" s="515"/>
      <c r="BG91" s="515"/>
      <c r="BH91" s="515"/>
      <c r="BI91" s="515"/>
      <c r="BJ91" s="515"/>
      <c r="BK91" s="515"/>
      <c r="BL91" s="515"/>
      <c r="BM91" s="515"/>
      <c r="BN91" s="515"/>
      <c r="BO91" s="515"/>
      <c r="BP91" s="515"/>
      <c r="BQ91" s="515"/>
      <c r="BR91" s="515"/>
      <c r="BS91" s="515"/>
      <c r="BT91" s="515"/>
      <c r="BU91" s="515"/>
      <c r="BV91" s="515"/>
      <c r="BW91" s="515"/>
      <c r="BX91" s="515"/>
      <c r="BY91" s="515"/>
      <c r="BZ91" s="515"/>
      <c r="CA91" s="515"/>
      <c r="CB91" s="515"/>
      <c r="CC91" s="515"/>
      <c r="CD91" s="515"/>
      <c r="CE91" s="515"/>
      <c r="CF91" s="515"/>
      <c r="CG91" s="515"/>
      <c r="CH91" s="515"/>
      <c r="CI91" s="515"/>
      <c r="CJ91" s="515"/>
      <c r="CK91" s="515"/>
      <c r="CL91" s="515"/>
      <c r="CM91" s="515"/>
      <c r="CN91" s="515"/>
      <c r="CO91" s="515"/>
      <c r="CP91" s="515"/>
      <c r="CQ91" s="515"/>
      <c r="CR91" s="515"/>
      <c r="CS91" s="515"/>
      <c r="CT91" s="515"/>
      <c r="CU91" s="515"/>
      <c r="CV91" s="515"/>
      <c r="CW91" s="515"/>
      <c r="CX91" s="515"/>
      <c r="CY91" s="515"/>
      <c r="CZ91" s="515"/>
      <c r="DA91" s="515"/>
      <c r="DB91" s="515"/>
      <c r="DC91" s="515"/>
      <c r="DD91" s="515"/>
      <c r="DE91" s="515"/>
      <c r="DF91" s="515"/>
      <c r="DG91" s="515"/>
      <c r="DH91" s="515"/>
      <c r="DI91" s="515"/>
      <c r="DJ91" s="515"/>
      <c r="DK91" s="515"/>
      <c r="DL91" s="515"/>
      <c r="DM91" s="515"/>
      <c r="DN91" s="515"/>
      <c r="DO91" s="515"/>
      <c r="DP91" s="515"/>
      <c r="DQ91" s="515"/>
      <c r="DR91" s="515"/>
      <c r="DS91" s="515"/>
      <c r="DT91" s="515"/>
      <c r="DU91" s="515"/>
      <c r="DV91" s="515"/>
      <c r="DW91" s="515"/>
      <c r="DX91" s="515"/>
      <c r="DY91" s="515"/>
      <c r="DZ91" s="515"/>
      <c r="EA91" s="515"/>
      <c r="EB91" s="515"/>
      <c r="EC91" s="515"/>
      <c r="ED91" s="515"/>
      <c r="EE91" s="515"/>
      <c r="EF91" s="515"/>
      <c r="EG91" s="515"/>
      <c r="EH91" s="515"/>
      <c r="EI91" s="515"/>
      <c r="EJ91" s="515"/>
      <c r="EK91" s="515"/>
      <c r="EL91" s="515"/>
      <c r="EM91" s="515"/>
      <c r="EN91" s="515"/>
      <c r="EO91" s="515"/>
      <c r="EP91" s="515"/>
      <c r="EQ91" s="515"/>
      <c r="ER91" s="515"/>
      <c r="ES91" s="515"/>
      <c r="ET91" s="515"/>
      <c r="EU91" s="515"/>
      <c r="EV91" s="515"/>
      <c r="EW91" s="515"/>
      <c r="EX91" s="515"/>
      <c r="EY91" s="515"/>
      <c r="EZ91" s="515"/>
      <c r="FA91" s="515"/>
      <c r="FB91" s="515"/>
      <c r="FC91" s="515"/>
      <c r="FD91" s="515"/>
      <c r="FE91" s="515"/>
      <c r="FF91" s="515"/>
      <c r="FG91" s="515"/>
      <c r="FH91" s="515"/>
      <c r="FI91" s="515"/>
      <c r="FJ91" s="515"/>
      <c r="FK91" s="515"/>
      <c r="FL91" s="515"/>
      <c r="FM91" s="515"/>
      <c r="FN91" s="515"/>
      <c r="FO91" s="515"/>
      <c r="FP91" s="515"/>
      <c r="FQ91" s="515"/>
      <c r="FR91" s="515"/>
      <c r="FS91" s="515"/>
      <c r="FT91" s="515"/>
      <c r="FU91" s="515"/>
      <c r="FV91" s="515"/>
      <c r="FW91" s="515"/>
      <c r="FX91" s="515"/>
      <c r="FY91" s="515"/>
      <c r="FZ91" s="515"/>
      <c r="GA91" s="515"/>
      <c r="GB91" s="515"/>
      <c r="GC91" s="515"/>
      <c r="GD91" s="515"/>
      <c r="GE91" s="515"/>
      <c r="GF91" s="515"/>
      <c r="GG91" s="515"/>
      <c r="GH91" s="515"/>
      <c r="GI91" s="515"/>
      <c r="GJ91" s="515"/>
      <c r="GK91" s="515"/>
      <c r="GL91" s="515"/>
      <c r="GM91" s="515"/>
      <c r="GN91" s="515"/>
    </row>
    <row r="92" spans="1:196" ht="13.8" collapsed="1" x14ac:dyDescent="0.25">
      <c r="C92" s="923">
        <f>123918+50028</f>
        <v>173946</v>
      </c>
      <c r="D92" s="923">
        <f>C92-G92</f>
        <v>-0.72749610000755638</v>
      </c>
      <c r="E92" s="143" t="s">
        <v>15</v>
      </c>
      <c r="F92" s="144" t="s">
        <v>82</v>
      </c>
      <c r="G92" s="294">
        <v>173946.72749610001</v>
      </c>
      <c r="H92" s="295">
        <v>207617.29264600005</v>
      </c>
      <c r="I92" s="126">
        <f t="shared" si="4"/>
        <v>33670.565149900038</v>
      </c>
      <c r="J92" s="864">
        <f t="shared" si="6"/>
        <v>0.19356825871101802</v>
      </c>
      <c r="K92" s="1139"/>
      <c r="L92" s="224"/>
    </row>
    <row r="93" spans="1:196" s="104" customFormat="1" ht="13.8" hidden="1" outlineLevel="1" x14ac:dyDescent="0.25">
      <c r="A93" s="810" t="s">
        <v>769</v>
      </c>
      <c r="B93" s="810" t="s">
        <v>228</v>
      </c>
      <c r="C93" s="923"/>
      <c r="D93" s="923"/>
      <c r="E93" s="159"/>
      <c r="F93" s="215" t="s">
        <v>228</v>
      </c>
      <c r="G93" s="296">
        <v>98739.397496099991</v>
      </c>
      <c r="H93" s="304">
        <v>133182.56264600003</v>
      </c>
      <c r="I93" s="153">
        <f t="shared" si="4"/>
        <v>34443.165149900044</v>
      </c>
      <c r="J93" s="878">
        <f t="shared" si="6"/>
        <v>0.34882899858954963</v>
      </c>
      <c r="K93" s="998" t="s">
        <v>1431</v>
      </c>
      <c r="L93" s="155"/>
      <c r="M93" s="107"/>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row>
    <row r="94" spans="1:196" s="104" customFormat="1" ht="55.2" hidden="1" outlineLevel="1" x14ac:dyDescent="0.25">
      <c r="A94" s="810" t="s">
        <v>769</v>
      </c>
      <c r="B94" s="810" t="s">
        <v>554</v>
      </c>
      <c r="C94" s="923"/>
      <c r="D94" s="923"/>
      <c r="E94" s="214"/>
      <c r="F94" s="160" t="s">
        <v>198</v>
      </c>
      <c r="G94" s="296">
        <v>21927</v>
      </c>
      <c r="H94" s="304">
        <v>25853.65</v>
      </c>
      <c r="I94" s="153">
        <f t="shared" si="4"/>
        <v>3926.6500000000015</v>
      </c>
      <c r="J94" s="878">
        <f t="shared" si="6"/>
        <v>0.17907830528572086</v>
      </c>
      <c r="K94" s="1131" t="s">
        <v>1455</v>
      </c>
      <c r="L94" s="155"/>
      <c r="M94" s="107"/>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row>
    <row r="95" spans="1:196" s="216" customFormat="1" ht="13.8" hidden="1" outlineLevel="1" x14ac:dyDescent="0.25">
      <c r="A95" s="810" t="s">
        <v>770</v>
      </c>
      <c r="B95" s="810" t="s">
        <v>554</v>
      </c>
      <c r="C95" s="923">
        <v>50028</v>
      </c>
      <c r="D95" s="923">
        <f>C95-G95</f>
        <v>-0.33000000000174623</v>
      </c>
      <c r="E95" s="811"/>
      <c r="F95" s="859" t="s">
        <v>714</v>
      </c>
      <c r="G95" s="296">
        <v>50028.33</v>
      </c>
      <c r="H95" s="304">
        <v>45166.33</v>
      </c>
      <c r="I95" s="153">
        <f t="shared" ref="I95" si="11">H95-G95</f>
        <v>-4862</v>
      </c>
      <c r="J95" s="878">
        <f t="shared" ref="J95" si="12">IFERROR(I95/G95,"-")</f>
        <v>-9.718493501582004E-2</v>
      </c>
      <c r="K95" s="812" t="s">
        <v>1432</v>
      </c>
      <c r="L95" s="323"/>
      <c r="M95" s="1120"/>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3"/>
      <c r="CC95" s="223"/>
      <c r="CD95" s="223"/>
      <c r="CE95" s="223"/>
      <c r="CF95" s="223"/>
      <c r="CG95" s="223"/>
      <c r="CH95" s="223"/>
      <c r="CI95" s="223"/>
      <c r="CJ95" s="223"/>
      <c r="CK95" s="223"/>
      <c r="CL95" s="223"/>
      <c r="CM95" s="223"/>
      <c r="CN95" s="223"/>
      <c r="CO95" s="223"/>
      <c r="CP95" s="223"/>
      <c r="CQ95" s="223"/>
      <c r="CR95" s="223"/>
      <c r="CS95" s="223"/>
      <c r="CT95" s="223"/>
      <c r="CU95" s="223"/>
      <c r="CV95" s="223"/>
      <c r="CW95" s="223"/>
      <c r="CX95" s="223"/>
      <c r="CY95" s="223"/>
      <c r="CZ95" s="223"/>
      <c r="DA95" s="223"/>
      <c r="DB95" s="223"/>
      <c r="DC95" s="223"/>
      <c r="DD95" s="223"/>
      <c r="DE95" s="223"/>
      <c r="DF95" s="223"/>
      <c r="DG95" s="223"/>
      <c r="DH95" s="223"/>
      <c r="DI95" s="223"/>
      <c r="DJ95" s="223"/>
      <c r="DK95" s="223"/>
      <c r="DL95" s="223"/>
      <c r="DM95" s="223"/>
      <c r="DN95" s="223"/>
      <c r="DO95" s="223"/>
      <c r="DP95" s="223"/>
      <c r="DQ95" s="223"/>
      <c r="DR95" s="223"/>
      <c r="DS95" s="223"/>
      <c r="DT95" s="223"/>
      <c r="DU95" s="223"/>
      <c r="DV95" s="223"/>
      <c r="DW95" s="223"/>
      <c r="DX95" s="223"/>
      <c r="DY95" s="223"/>
      <c r="DZ95" s="223"/>
      <c r="EA95" s="223"/>
      <c r="EB95" s="223"/>
      <c r="EC95" s="223"/>
      <c r="ED95" s="223"/>
      <c r="EE95" s="223"/>
      <c r="EF95" s="223"/>
      <c r="EG95" s="223"/>
      <c r="EH95" s="223"/>
      <c r="EI95" s="223"/>
      <c r="EJ95" s="223"/>
      <c r="EK95" s="223"/>
      <c r="EL95" s="223"/>
      <c r="EM95" s="223"/>
      <c r="EN95" s="223"/>
      <c r="EO95" s="223"/>
      <c r="EP95" s="223"/>
      <c r="EQ95" s="223"/>
      <c r="ER95" s="223"/>
      <c r="ES95" s="223"/>
      <c r="ET95" s="223"/>
      <c r="EU95" s="223"/>
      <c r="EV95" s="223"/>
      <c r="EW95" s="223"/>
      <c r="EX95" s="223"/>
      <c r="EY95" s="223"/>
      <c r="EZ95" s="223"/>
      <c r="FA95" s="223"/>
      <c r="FB95" s="223"/>
      <c r="FC95" s="223"/>
      <c r="FD95" s="223"/>
      <c r="FE95" s="223"/>
      <c r="FF95" s="223"/>
      <c r="FG95" s="223"/>
      <c r="FH95" s="223"/>
      <c r="FI95" s="223"/>
      <c r="FJ95" s="223"/>
      <c r="FK95" s="223"/>
      <c r="FL95" s="223"/>
      <c r="FM95" s="223"/>
      <c r="FN95" s="223"/>
      <c r="FO95" s="223"/>
      <c r="FP95" s="223"/>
      <c r="FQ95" s="223"/>
      <c r="FR95" s="223"/>
      <c r="FS95" s="223"/>
      <c r="FT95" s="223"/>
      <c r="FU95" s="223"/>
      <c r="FV95" s="223"/>
      <c r="FW95" s="223"/>
      <c r="FX95" s="223"/>
      <c r="FY95" s="223"/>
      <c r="FZ95" s="223"/>
      <c r="GA95" s="223"/>
      <c r="GB95" s="223"/>
      <c r="GC95" s="223"/>
      <c r="GD95" s="223"/>
      <c r="GE95" s="223"/>
      <c r="GF95" s="223"/>
      <c r="GG95" s="223"/>
      <c r="GH95" s="223"/>
      <c r="GI95" s="223"/>
      <c r="GJ95" s="223"/>
      <c r="GK95" s="223"/>
      <c r="GL95" s="223"/>
      <c r="GM95" s="223"/>
      <c r="GN95" s="223"/>
    </row>
    <row r="96" spans="1:196" s="104" customFormat="1" ht="13.8" hidden="1" outlineLevel="1" x14ac:dyDescent="0.25">
      <c r="A96" s="810" t="s">
        <v>769</v>
      </c>
      <c r="B96" s="810" t="s">
        <v>556</v>
      </c>
      <c r="C96" s="923"/>
      <c r="D96" s="923"/>
      <c r="E96" s="159"/>
      <c r="F96" s="160" t="s">
        <v>197</v>
      </c>
      <c r="G96" s="296">
        <v>3252</v>
      </c>
      <c r="H96" s="304">
        <v>3414.75</v>
      </c>
      <c r="I96" s="153">
        <f t="shared" si="4"/>
        <v>162.75</v>
      </c>
      <c r="J96" s="878">
        <f t="shared" si="6"/>
        <v>5.0046125461254615E-2</v>
      </c>
      <c r="K96" s="998"/>
      <c r="L96" s="155"/>
      <c r="M96" s="107"/>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row>
    <row r="97" spans="1:196" s="525" customFormat="1" ht="13.8" hidden="1" outlineLevel="1" x14ac:dyDescent="0.25">
      <c r="A97" s="1101" t="s">
        <v>769</v>
      </c>
      <c r="B97" s="1101" t="s">
        <v>555</v>
      </c>
      <c r="C97" s="1102"/>
      <c r="D97" s="1102"/>
      <c r="E97" s="523"/>
      <c r="F97" s="520" t="s">
        <v>555</v>
      </c>
      <c r="G97" s="504">
        <v>0</v>
      </c>
      <c r="H97" s="504">
        <v>0</v>
      </c>
      <c r="I97" s="510">
        <f t="shared" si="4"/>
        <v>0</v>
      </c>
      <c r="J97" s="876" t="str">
        <f t="shared" si="6"/>
        <v>-</v>
      </c>
      <c r="K97" s="1141"/>
      <c r="L97" s="515"/>
      <c r="M97" s="1122"/>
      <c r="N97" s="515"/>
      <c r="O97" s="515"/>
      <c r="P97" s="515"/>
      <c r="Q97" s="515"/>
      <c r="R97" s="515"/>
      <c r="S97" s="515"/>
      <c r="T97" s="515"/>
      <c r="U97" s="515"/>
      <c r="V97" s="515"/>
      <c r="W97" s="515"/>
      <c r="X97" s="515"/>
      <c r="Y97" s="515"/>
      <c r="Z97" s="515"/>
      <c r="AA97" s="515"/>
      <c r="AB97" s="515"/>
      <c r="AC97" s="515"/>
      <c r="AD97" s="515"/>
      <c r="AE97" s="515"/>
      <c r="AF97" s="515"/>
      <c r="AG97" s="515"/>
      <c r="AH97" s="515"/>
      <c r="AI97" s="515"/>
      <c r="AJ97" s="515"/>
      <c r="AK97" s="515"/>
      <c r="AL97" s="515"/>
      <c r="AM97" s="515"/>
      <c r="AN97" s="515"/>
      <c r="AO97" s="515"/>
      <c r="AP97" s="515"/>
      <c r="AQ97" s="515"/>
      <c r="AR97" s="515"/>
      <c r="AS97" s="515"/>
      <c r="AT97" s="515"/>
      <c r="AU97" s="515"/>
      <c r="AV97" s="515"/>
      <c r="AW97" s="515"/>
      <c r="AX97" s="515"/>
      <c r="AY97" s="515"/>
      <c r="AZ97" s="515"/>
      <c r="BA97" s="515"/>
      <c r="BB97" s="515"/>
      <c r="BC97" s="515"/>
      <c r="BD97" s="515"/>
      <c r="BE97" s="515"/>
      <c r="BF97" s="515"/>
      <c r="BG97" s="515"/>
      <c r="BH97" s="515"/>
      <c r="BI97" s="515"/>
      <c r="BJ97" s="515"/>
      <c r="BK97" s="515"/>
      <c r="BL97" s="515"/>
      <c r="BM97" s="515"/>
      <c r="BN97" s="515"/>
      <c r="BO97" s="515"/>
      <c r="BP97" s="515"/>
      <c r="BQ97" s="515"/>
      <c r="BR97" s="515"/>
      <c r="BS97" s="515"/>
      <c r="BT97" s="515"/>
      <c r="BU97" s="515"/>
      <c r="BV97" s="515"/>
      <c r="BW97" s="515"/>
      <c r="BX97" s="515"/>
      <c r="BY97" s="515"/>
      <c r="BZ97" s="515"/>
      <c r="CA97" s="515"/>
      <c r="CB97" s="515"/>
      <c r="CC97" s="515"/>
      <c r="CD97" s="515"/>
      <c r="CE97" s="515"/>
      <c r="CF97" s="515"/>
      <c r="CG97" s="515"/>
      <c r="CH97" s="515"/>
      <c r="CI97" s="515"/>
      <c r="CJ97" s="515"/>
      <c r="CK97" s="515"/>
      <c r="CL97" s="515"/>
      <c r="CM97" s="515"/>
      <c r="CN97" s="515"/>
      <c r="CO97" s="515"/>
      <c r="CP97" s="515"/>
      <c r="CQ97" s="515"/>
      <c r="CR97" s="515"/>
      <c r="CS97" s="515"/>
      <c r="CT97" s="515"/>
      <c r="CU97" s="515"/>
      <c r="CV97" s="515"/>
      <c r="CW97" s="515"/>
      <c r="CX97" s="515"/>
      <c r="CY97" s="515"/>
      <c r="CZ97" s="515"/>
      <c r="DA97" s="515"/>
      <c r="DB97" s="515"/>
      <c r="DC97" s="515"/>
      <c r="DD97" s="515"/>
      <c r="DE97" s="515"/>
      <c r="DF97" s="515"/>
      <c r="DG97" s="515"/>
      <c r="DH97" s="515"/>
      <c r="DI97" s="515"/>
      <c r="DJ97" s="515"/>
      <c r="DK97" s="515"/>
      <c r="DL97" s="515"/>
      <c r="DM97" s="515"/>
      <c r="DN97" s="515"/>
      <c r="DO97" s="515"/>
      <c r="DP97" s="515"/>
      <c r="DQ97" s="515"/>
      <c r="DR97" s="515"/>
      <c r="DS97" s="515"/>
      <c r="DT97" s="515"/>
      <c r="DU97" s="515"/>
      <c r="DV97" s="515"/>
      <c r="DW97" s="515"/>
      <c r="DX97" s="515"/>
      <c r="DY97" s="515"/>
      <c r="DZ97" s="515"/>
      <c r="EA97" s="515"/>
      <c r="EB97" s="515"/>
      <c r="EC97" s="515"/>
      <c r="ED97" s="515"/>
      <c r="EE97" s="515"/>
      <c r="EF97" s="515"/>
      <c r="EG97" s="515"/>
      <c r="EH97" s="515"/>
      <c r="EI97" s="515"/>
      <c r="EJ97" s="515"/>
      <c r="EK97" s="515"/>
      <c r="EL97" s="515"/>
      <c r="EM97" s="515"/>
      <c r="EN97" s="515"/>
      <c r="EO97" s="515"/>
      <c r="EP97" s="515"/>
      <c r="EQ97" s="515"/>
      <c r="ER97" s="515"/>
      <c r="ES97" s="515"/>
      <c r="ET97" s="515"/>
      <c r="EU97" s="515"/>
      <c r="EV97" s="515"/>
      <c r="EW97" s="515"/>
      <c r="EX97" s="515"/>
      <c r="EY97" s="515"/>
      <c r="EZ97" s="515"/>
      <c r="FA97" s="515"/>
      <c r="FB97" s="515"/>
      <c r="FC97" s="515"/>
      <c r="FD97" s="515"/>
      <c r="FE97" s="515"/>
      <c r="FF97" s="515"/>
      <c r="FG97" s="515"/>
      <c r="FH97" s="515"/>
      <c r="FI97" s="515"/>
      <c r="FJ97" s="515"/>
      <c r="FK97" s="515"/>
      <c r="FL97" s="515"/>
      <c r="FM97" s="515"/>
      <c r="FN97" s="515"/>
      <c r="FO97" s="515"/>
      <c r="FP97" s="515"/>
      <c r="FQ97" s="515"/>
      <c r="FR97" s="515"/>
      <c r="FS97" s="515"/>
      <c r="FT97" s="515"/>
      <c r="FU97" s="515"/>
      <c r="FV97" s="515"/>
      <c r="FW97" s="515"/>
      <c r="FX97" s="515"/>
      <c r="FY97" s="515"/>
      <c r="FZ97" s="515"/>
      <c r="GA97" s="515"/>
      <c r="GB97" s="515"/>
      <c r="GC97" s="515"/>
      <c r="GD97" s="515"/>
      <c r="GE97" s="515"/>
      <c r="GF97" s="515"/>
      <c r="GG97" s="515"/>
      <c r="GH97" s="515"/>
      <c r="GI97" s="515"/>
      <c r="GJ97" s="515"/>
      <c r="GK97" s="515"/>
      <c r="GL97" s="515"/>
      <c r="GM97" s="515"/>
      <c r="GN97" s="515"/>
    </row>
    <row r="98" spans="1:196" ht="27" customHeight="1" collapsed="1" x14ac:dyDescent="0.25">
      <c r="E98" s="143" t="s">
        <v>19</v>
      </c>
      <c r="F98" s="144" t="s">
        <v>83</v>
      </c>
      <c r="G98" s="294">
        <v>6236115.8145316662</v>
      </c>
      <c r="H98" s="295">
        <v>9823324.7801130004</v>
      </c>
      <c r="I98" s="126">
        <f t="shared" si="4"/>
        <v>3587208.9655813342</v>
      </c>
      <c r="J98" s="864">
        <f t="shared" si="6"/>
        <v>0.57523129336730161</v>
      </c>
      <c r="K98" s="423"/>
      <c r="L98" s="224"/>
    </row>
    <row r="99" spans="1:196" s="343" customFormat="1" ht="13.8" x14ac:dyDescent="0.25">
      <c r="A99" s="1412"/>
      <c r="B99" s="1412"/>
      <c r="C99" s="1407"/>
      <c r="D99" s="1407"/>
      <c r="E99" s="338"/>
      <c r="F99" s="339" t="s">
        <v>228</v>
      </c>
      <c r="G99" s="340">
        <v>2701942.6898650001</v>
      </c>
      <c r="H99" s="340">
        <v>3172635.1098130001</v>
      </c>
      <c r="I99" s="341">
        <f t="shared" si="4"/>
        <v>470692.419948</v>
      </c>
      <c r="J99" s="873">
        <f t="shared" si="6"/>
        <v>0.17420518270560273</v>
      </c>
      <c r="K99" s="425"/>
      <c r="L99" s="470"/>
      <c r="M99" s="1121"/>
      <c r="N99" s="924"/>
      <c r="O99" s="924"/>
      <c r="P99" s="924"/>
      <c r="Q99" s="924"/>
      <c r="R99" s="924"/>
      <c r="S99" s="924"/>
      <c r="T99" s="924"/>
      <c r="U99" s="924"/>
      <c r="V99" s="924"/>
      <c r="W99" s="924"/>
      <c r="X99" s="924"/>
      <c r="Y99" s="924"/>
      <c r="Z99" s="924"/>
      <c r="AA99" s="924"/>
      <c r="AB99" s="924"/>
      <c r="AC99" s="924"/>
      <c r="AD99" s="924"/>
      <c r="AE99" s="924"/>
      <c r="AF99" s="924"/>
      <c r="AG99" s="924"/>
      <c r="AH99" s="924"/>
      <c r="AI99" s="924"/>
      <c r="AJ99" s="924"/>
      <c r="AK99" s="924"/>
      <c r="AL99" s="924"/>
      <c r="AM99" s="924"/>
      <c r="AN99" s="924"/>
      <c r="AO99" s="924"/>
      <c r="AP99" s="924"/>
      <c r="AQ99" s="924"/>
      <c r="AR99" s="924"/>
      <c r="AS99" s="924"/>
      <c r="AT99" s="924"/>
      <c r="AU99" s="924"/>
      <c r="AV99" s="924"/>
      <c r="AW99" s="924"/>
      <c r="AX99" s="924"/>
      <c r="AY99" s="924"/>
      <c r="AZ99" s="924"/>
      <c r="BA99" s="924"/>
      <c r="BB99" s="924"/>
      <c r="BC99" s="924"/>
      <c r="BD99" s="924"/>
      <c r="BE99" s="924"/>
      <c r="BF99" s="924"/>
      <c r="BG99" s="924"/>
      <c r="BH99" s="924"/>
      <c r="BI99" s="924"/>
      <c r="BJ99" s="924"/>
      <c r="BK99" s="924"/>
      <c r="BL99" s="924"/>
      <c r="BM99" s="924"/>
      <c r="BN99" s="924"/>
      <c r="BO99" s="924"/>
      <c r="BP99" s="924"/>
      <c r="BQ99" s="924"/>
      <c r="BR99" s="924"/>
      <c r="BS99" s="924"/>
      <c r="BT99" s="924"/>
      <c r="BU99" s="924"/>
      <c r="BV99" s="924"/>
      <c r="BW99" s="924"/>
      <c r="BX99" s="924"/>
      <c r="BY99" s="924"/>
      <c r="BZ99" s="924"/>
      <c r="CA99" s="924"/>
      <c r="CB99" s="924"/>
      <c r="CC99" s="924"/>
      <c r="CD99" s="924"/>
      <c r="CE99" s="924"/>
      <c r="CF99" s="924"/>
      <c r="CG99" s="924"/>
      <c r="CH99" s="924"/>
      <c r="CI99" s="924"/>
      <c r="CJ99" s="924"/>
      <c r="CK99" s="924"/>
      <c r="CL99" s="924"/>
      <c r="CM99" s="924"/>
      <c r="CN99" s="924"/>
      <c r="CO99" s="924"/>
      <c r="CP99" s="924"/>
      <c r="CQ99" s="924"/>
      <c r="CR99" s="924"/>
      <c r="CS99" s="924"/>
      <c r="CT99" s="924"/>
      <c r="CU99" s="924"/>
      <c r="CV99" s="924"/>
      <c r="CW99" s="924"/>
      <c r="CX99" s="924"/>
      <c r="CY99" s="924"/>
      <c r="CZ99" s="924"/>
      <c r="DA99" s="924"/>
      <c r="DB99" s="924"/>
      <c r="DC99" s="924"/>
      <c r="DD99" s="924"/>
      <c r="DE99" s="924"/>
      <c r="DF99" s="924"/>
      <c r="DG99" s="924"/>
      <c r="DH99" s="924"/>
      <c r="DI99" s="924"/>
      <c r="DJ99" s="924"/>
      <c r="DK99" s="924"/>
      <c r="DL99" s="924"/>
      <c r="DM99" s="924"/>
      <c r="DN99" s="924"/>
      <c r="DO99" s="924"/>
      <c r="DP99" s="924"/>
      <c r="DQ99" s="924"/>
      <c r="DR99" s="924"/>
      <c r="DS99" s="924"/>
      <c r="DT99" s="924"/>
      <c r="DU99" s="924"/>
      <c r="DV99" s="924"/>
      <c r="DW99" s="924"/>
      <c r="DX99" s="924"/>
      <c r="DY99" s="924"/>
      <c r="DZ99" s="924"/>
      <c r="EA99" s="924"/>
      <c r="EB99" s="924"/>
      <c r="EC99" s="924"/>
      <c r="ED99" s="924"/>
      <c r="EE99" s="924"/>
      <c r="EF99" s="924"/>
      <c r="EG99" s="924"/>
      <c r="EH99" s="924"/>
      <c r="EI99" s="924"/>
      <c r="EJ99" s="924"/>
      <c r="EK99" s="924"/>
      <c r="EL99" s="924"/>
      <c r="EM99" s="924"/>
      <c r="EN99" s="924"/>
      <c r="EO99" s="924"/>
      <c r="EP99" s="924"/>
      <c r="EQ99" s="924"/>
      <c r="ER99" s="924"/>
      <c r="ES99" s="924"/>
      <c r="ET99" s="924"/>
      <c r="EU99" s="924"/>
      <c r="EV99" s="924"/>
      <c r="EW99" s="924"/>
      <c r="EX99" s="924"/>
      <c r="EY99" s="924"/>
      <c r="EZ99" s="924"/>
      <c r="FA99" s="924"/>
      <c r="FB99" s="924"/>
      <c r="FC99" s="924"/>
      <c r="FD99" s="924"/>
      <c r="FE99" s="924"/>
      <c r="FF99" s="924"/>
      <c r="FG99" s="924"/>
      <c r="FH99" s="924"/>
      <c r="FI99" s="924"/>
      <c r="FJ99" s="924"/>
      <c r="FK99" s="924"/>
      <c r="FL99" s="924"/>
      <c r="FM99" s="924"/>
      <c r="FN99" s="924"/>
      <c r="FO99" s="924"/>
      <c r="FP99" s="924"/>
      <c r="FQ99" s="924"/>
      <c r="FR99" s="924"/>
      <c r="FS99" s="924"/>
      <c r="FT99" s="924"/>
      <c r="FU99" s="924"/>
      <c r="FV99" s="924"/>
      <c r="FW99" s="924"/>
      <c r="FX99" s="924"/>
      <c r="FY99" s="924"/>
      <c r="FZ99" s="924"/>
      <c r="GA99" s="924"/>
      <c r="GB99" s="924"/>
      <c r="GC99" s="924"/>
      <c r="GD99" s="924"/>
      <c r="GE99" s="924"/>
      <c r="GF99" s="924"/>
      <c r="GG99" s="924"/>
      <c r="GH99" s="924"/>
      <c r="GI99" s="924"/>
      <c r="GJ99" s="924"/>
      <c r="GK99" s="924"/>
      <c r="GL99" s="924"/>
      <c r="GM99" s="924"/>
      <c r="GN99" s="924"/>
    </row>
    <row r="100" spans="1:196" s="343" customFormat="1" ht="13.8" x14ac:dyDescent="0.25">
      <c r="A100" s="1412"/>
      <c r="B100" s="1412"/>
      <c r="C100" s="1407"/>
      <c r="D100" s="1407"/>
      <c r="E100" s="344"/>
      <c r="F100" s="345" t="s">
        <v>198</v>
      </c>
      <c r="G100" s="340">
        <v>3476230.1246666666</v>
      </c>
      <c r="H100" s="340">
        <v>6565794.6703000003</v>
      </c>
      <c r="I100" s="341">
        <f t="shared" si="4"/>
        <v>3089564.5456333337</v>
      </c>
      <c r="J100" s="873">
        <f t="shared" si="6"/>
        <v>0.88876870484217152</v>
      </c>
      <c r="K100" s="424"/>
      <c r="L100" s="470"/>
      <c r="M100" s="1121"/>
      <c r="N100" s="924"/>
      <c r="O100" s="924"/>
      <c r="P100" s="924"/>
      <c r="Q100" s="924"/>
      <c r="R100" s="924"/>
      <c r="S100" s="924"/>
      <c r="T100" s="924"/>
      <c r="U100" s="924"/>
      <c r="V100" s="924"/>
      <c r="W100" s="924"/>
      <c r="X100" s="924"/>
      <c r="Y100" s="924"/>
      <c r="Z100" s="924"/>
      <c r="AA100" s="924"/>
      <c r="AB100" s="924"/>
      <c r="AC100" s="924"/>
      <c r="AD100" s="924"/>
      <c r="AE100" s="924"/>
      <c r="AF100" s="924"/>
      <c r="AG100" s="924"/>
      <c r="AH100" s="924"/>
      <c r="AI100" s="924"/>
      <c r="AJ100" s="924"/>
      <c r="AK100" s="924"/>
      <c r="AL100" s="924"/>
      <c r="AM100" s="924"/>
      <c r="AN100" s="924"/>
      <c r="AO100" s="924"/>
      <c r="AP100" s="924"/>
      <c r="AQ100" s="924"/>
      <c r="AR100" s="924"/>
      <c r="AS100" s="924"/>
      <c r="AT100" s="924"/>
      <c r="AU100" s="924"/>
      <c r="AV100" s="924"/>
      <c r="AW100" s="924"/>
      <c r="AX100" s="924"/>
      <c r="AY100" s="924"/>
      <c r="AZ100" s="924"/>
      <c r="BA100" s="924"/>
      <c r="BB100" s="924"/>
      <c r="BC100" s="924"/>
      <c r="BD100" s="924"/>
      <c r="BE100" s="924"/>
      <c r="BF100" s="924"/>
      <c r="BG100" s="924"/>
      <c r="BH100" s="924"/>
      <c r="BI100" s="924"/>
      <c r="BJ100" s="924"/>
      <c r="BK100" s="924"/>
      <c r="BL100" s="924"/>
      <c r="BM100" s="924"/>
      <c r="BN100" s="924"/>
      <c r="BO100" s="924"/>
      <c r="BP100" s="924"/>
      <c r="BQ100" s="924"/>
      <c r="BR100" s="924"/>
      <c r="BS100" s="924"/>
      <c r="BT100" s="924"/>
      <c r="BU100" s="924"/>
      <c r="BV100" s="924"/>
      <c r="BW100" s="924"/>
      <c r="BX100" s="924"/>
      <c r="BY100" s="924"/>
      <c r="BZ100" s="924"/>
      <c r="CA100" s="924"/>
      <c r="CB100" s="924"/>
      <c r="CC100" s="924"/>
      <c r="CD100" s="924"/>
      <c r="CE100" s="924"/>
      <c r="CF100" s="924"/>
      <c r="CG100" s="924"/>
      <c r="CH100" s="924"/>
      <c r="CI100" s="924"/>
      <c r="CJ100" s="924"/>
      <c r="CK100" s="924"/>
      <c r="CL100" s="924"/>
      <c r="CM100" s="924"/>
      <c r="CN100" s="924"/>
      <c r="CO100" s="924"/>
      <c r="CP100" s="924"/>
      <c r="CQ100" s="924"/>
      <c r="CR100" s="924"/>
      <c r="CS100" s="924"/>
      <c r="CT100" s="924"/>
      <c r="CU100" s="924"/>
      <c r="CV100" s="924"/>
      <c r="CW100" s="924"/>
      <c r="CX100" s="924"/>
      <c r="CY100" s="924"/>
      <c r="CZ100" s="924"/>
      <c r="DA100" s="924"/>
      <c r="DB100" s="924"/>
      <c r="DC100" s="924"/>
      <c r="DD100" s="924"/>
      <c r="DE100" s="924"/>
      <c r="DF100" s="924"/>
      <c r="DG100" s="924"/>
      <c r="DH100" s="924"/>
      <c r="DI100" s="924"/>
      <c r="DJ100" s="924"/>
      <c r="DK100" s="924"/>
      <c r="DL100" s="924"/>
      <c r="DM100" s="924"/>
      <c r="DN100" s="924"/>
      <c r="DO100" s="924"/>
      <c r="DP100" s="924"/>
      <c r="DQ100" s="924"/>
      <c r="DR100" s="924"/>
      <c r="DS100" s="924"/>
      <c r="DT100" s="924"/>
      <c r="DU100" s="924"/>
      <c r="DV100" s="924"/>
      <c r="DW100" s="924"/>
      <c r="DX100" s="924"/>
      <c r="DY100" s="924"/>
      <c r="DZ100" s="924"/>
      <c r="EA100" s="924"/>
      <c r="EB100" s="924"/>
      <c r="EC100" s="924"/>
      <c r="ED100" s="924"/>
      <c r="EE100" s="924"/>
      <c r="EF100" s="924"/>
      <c r="EG100" s="924"/>
      <c r="EH100" s="924"/>
      <c r="EI100" s="924"/>
      <c r="EJ100" s="924"/>
      <c r="EK100" s="924"/>
      <c r="EL100" s="924"/>
      <c r="EM100" s="924"/>
      <c r="EN100" s="924"/>
      <c r="EO100" s="924"/>
      <c r="EP100" s="924"/>
      <c r="EQ100" s="924"/>
      <c r="ER100" s="924"/>
      <c r="ES100" s="924"/>
      <c r="ET100" s="924"/>
      <c r="EU100" s="924"/>
      <c r="EV100" s="924"/>
      <c r="EW100" s="924"/>
      <c r="EX100" s="924"/>
      <c r="EY100" s="924"/>
      <c r="EZ100" s="924"/>
      <c r="FA100" s="924"/>
      <c r="FB100" s="924"/>
      <c r="FC100" s="924"/>
      <c r="FD100" s="924"/>
      <c r="FE100" s="924"/>
      <c r="FF100" s="924"/>
      <c r="FG100" s="924"/>
      <c r="FH100" s="924"/>
      <c r="FI100" s="924"/>
      <c r="FJ100" s="924"/>
      <c r="FK100" s="924"/>
      <c r="FL100" s="924"/>
      <c r="FM100" s="924"/>
      <c r="FN100" s="924"/>
      <c r="FO100" s="924"/>
      <c r="FP100" s="924"/>
      <c r="FQ100" s="924"/>
      <c r="FR100" s="924"/>
      <c r="FS100" s="924"/>
      <c r="FT100" s="924"/>
      <c r="FU100" s="924"/>
      <c r="FV100" s="924"/>
      <c r="FW100" s="924"/>
      <c r="FX100" s="924"/>
      <c r="FY100" s="924"/>
      <c r="FZ100" s="924"/>
      <c r="GA100" s="924"/>
      <c r="GB100" s="924"/>
      <c r="GC100" s="924"/>
      <c r="GD100" s="924"/>
      <c r="GE100" s="924"/>
      <c r="GF100" s="924"/>
      <c r="GG100" s="924"/>
      <c r="GH100" s="924"/>
      <c r="GI100" s="924"/>
      <c r="GJ100" s="924"/>
      <c r="GK100" s="924"/>
      <c r="GL100" s="924"/>
      <c r="GM100" s="924"/>
      <c r="GN100" s="924"/>
    </row>
    <row r="101" spans="1:196" s="343" customFormat="1" ht="13.8" x14ac:dyDescent="0.25">
      <c r="A101" s="1412"/>
      <c r="B101" s="1412"/>
      <c r="C101" s="1407"/>
      <c r="D101" s="1407"/>
      <c r="E101" s="338"/>
      <c r="F101" s="339" t="s">
        <v>197</v>
      </c>
      <c r="G101" s="340">
        <v>57943</v>
      </c>
      <c r="H101" s="340">
        <v>84895</v>
      </c>
      <c r="I101" s="341">
        <f t="shared" si="4"/>
        <v>26952</v>
      </c>
      <c r="J101" s="873">
        <f t="shared" si="6"/>
        <v>0.46514678218248967</v>
      </c>
      <c r="K101" s="424"/>
      <c r="L101" s="470"/>
      <c r="M101" s="1121"/>
      <c r="N101" s="924"/>
      <c r="O101" s="924"/>
      <c r="P101" s="924"/>
      <c r="Q101" s="924"/>
      <c r="R101" s="924"/>
      <c r="S101" s="924"/>
      <c r="T101" s="924"/>
      <c r="U101" s="924"/>
      <c r="V101" s="924"/>
      <c r="W101" s="924"/>
      <c r="X101" s="924"/>
      <c r="Y101" s="924"/>
      <c r="Z101" s="924"/>
      <c r="AA101" s="924"/>
      <c r="AB101" s="924"/>
      <c r="AC101" s="924"/>
      <c r="AD101" s="924"/>
      <c r="AE101" s="924"/>
      <c r="AF101" s="924"/>
      <c r="AG101" s="924"/>
      <c r="AH101" s="924"/>
      <c r="AI101" s="924"/>
      <c r="AJ101" s="924"/>
      <c r="AK101" s="924"/>
      <c r="AL101" s="924"/>
      <c r="AM101" s="924"/>
      <c r="AN101" s="924"/>
      <c r="AO101" s="924"/>
      <c r="AP101" s="924"/>
      <c r="AQ101" s="924"/>
      <c r="AR101" s="924"/>
      <c r="AS101" s="924"/>
      <c r="AT101" s="924"/>
      <c r="AU101" s="924"/>
      <c r="AV101" s="924"/>
      <c r="AW101" s="924"/>
      <c r="AX101" s="924"/>
      <c r="AY101" s="924"/>
      <c r="AZ101" s="924"/>
      <c r="BA101" s="924"/>
      <c r="BB101" s="924"/>
      <c r="BC101" s="924"/>
      <c r="BD101" s="924"/>
      <c r="BE101" s="924"/>
      <c r="BF101" s="924"/>
      <c r="BG101" s="924"/>
      <c r="BH101" s="924"/>
      <c r="BI101" s="924"/>
      <c r="BJ101" s="924"/>
      <c r="BK101" s="924"/>
      <c r="BL101" s="924"/>
      <c r="BM101" s="924"/>
      <c r="BN101" s="924"/>
      <c r="BO101" s="924"/>
      <c r="BP101" s="924"/>
      <c r="BQ101" s="924"/>
      <c r="BR101" s="924"/>
      <c r="BS101" s="924"/>
      <c r="BT101" s="924"/>
      <c r="BU101" s="924"/>
      <c r="BV101" s="924"/>
      <c r="BW101" s="924"/>
      <c r="BX101" s="924"/>
      <c r="BY101" s="924"/>
      <c r="BZ101" s="924"/>
      <c r="CA101" s="924"/>
      <c r="CB101" s="924"/>
      <c r="CC101" s="924"/>
      <c r="CD101" s="924"/>
      <c r="CE101" s="924"/>
      <c r="CF101" s="924"/>
      <c r="CG101" s="924"/>
      <c r="CH101" s="924"/>
      <c r="CI101" s="924"/>
      <c r="CJ101" s="924"/>
      <c r="CK101" s="924"/>
      <c r="CL101" s="924"/>
      <c r="CM101" s="924"/>
      <c r="CN101" s="924"/>
      <c r="CO101" s="924"/>
      <c r="CP101" s="924"/>
      <c r="CQ101" s="924"/>
      <c r="CR101" s="924"/>
      <c r="CS101" s="924"/>
      <c r="CT101" s="924"/>
      <c r="CU101" s="924"/>
      <c r="CV101" s="924"/>
      <c r="CW101" s="924"/>
      <c r="CX101" s="924"/>
      <c r="CY101" s="924"/>
      <c r="CZ101" s="924"/>
      <c r="DA101" s="924"/>
      <c r="DB101" s="924"/>
      <c r="DC101" s="924"/>
      <c r="DD101" s="924"/>
      <c r="DE101" s="924"/>
      <c r="DF101" s="924"/>
      <c r="DG101" s="924"/>
      <c r="DH101" s="924"/>
      <c r="DI101" s="924"/>
      <c r="DJ101" s="924"/>
      <c r="DK101" s="924"/>
      <c r="DL101" s="924"/>
      <c r="DM101" s="924"/>
      <c r="DN101" s="924"/>
      <c r="DO101" s="924"/>
      <c r="DP101" s="924"/>
      <c r="DQ101" s="924"/>
      <c r="DR101" s="924"/>
      <c r="DS101" s="924"/>
      <c r="DT101" s="924"/>
      <c r="DU101" s="924"/>
      <c r="DV101" s="924"/>
      <c r="DW101" s="924"/>
      <c r="DX101" s="924"/>
      <c r="DY101" s="924"/>
      <c r="DZ101" s="924"/>
      <c r="EA101" s="924"/>
      <c r="EB101" s="924"/>
      <c r="EC101" s="924"/>
      <c r="ED101" s="924"/>
      <c r="EE101" s="924"/>
      <c r="EF101" s="924"/>
      <c r="EG101" s="924"/>
      <c r="EH101" s="924"/>
      <c r="EI101" s="924"/>
      <c r="EJ101" s="924"/>
      <c r="EK101" s="924"/>
      <c r="EL101" s="924"/>
      <c r="EM101" s="924"/>
      <c r="EN101" s="924"/>
      <c r="EO101" s="924"/>
      <c r="EP101" s="924"/>
      <c r="EQ101" s="924"/>
      <c r="ER101" s="924"/>
      <c r="ES101" s="924"/>
      <c r="ET101" s="924"/>
      <c r="EU101" s="924"/>
      <c r="EV101" s="924"/>
      <c r="EW101" s="924"/>
      <c r="EX101" s="924"/>
      <c r="EY101" s="924"/>
      <c r="EZ101" s="924"/>
      <c r="FA101" s="924"/>
      <c r="FB101" s="924"/>
      <c r="FC101" s="924"/>
      <c r="FD101" s="924"/>
      <c r="FE101" s="924"/>
      <c r="FF101" s="924"/>
      <c r="FG101" s="924"/>
      <c r="FH101" s="924"/>
      <c r="FI101" s="924"/>
      <c r="FJ101" s="924"/>
      <c r="FK101" s="924"/>
      <c r="FL101" s="924"/>
      <c r="FM101" s="924"/>
      <c r="FN101" s="924"/>
      <c r="FO101" s="924"/>
      <c r="FP101" s="924"/>
      <c r="FQ101" s="924"/>
      <c r="FR101" s="924"/>
      <c r="FS101" s="924"/>
      <c r="FT101" s="924"/>
      <c r="FU101" s="924"/>
      <c r="FV101" s="924"/>
      <c r="FW101" s="924"/>
      <c r="FX101" s="924"/>
      <c r="FY101" s="924"/>
      <c r="FZ101" s="924"/>
      <c r="GA101" s="924"/>
      <c r="GB101" s="924"/>
      <c r="GC101" s="924"/>
      <c r="GD101" s="924"/>
      <c r="GE101" s="924"/>
      <c r="GF101" s="924"/>
      <c r="GG101" s="924"/>
      <c r="GH101" s="924"/>
      <c r="GI101" s="924"/>
      <c r="GJ101" s="924"/>
      <c r="GK101" s="924"/>
      <c r="GL101" s="924"/>
      <c r="GM101" s="924"/>
      <c r="GN101" s="924"/>
    </row>
    <row r="102" spans="1:196" s="517" customFormat="1" ht="13.8" hidden="1" outlineLevel="1" x14ac:dyDescent="0.25">
      <c r="A102" s="810"/>
      <c r="B102" s="810"/>
      <c r="C102" s="923"/>
      <c r="D102" s="923"/>
      <c r="E102" s="530"/>
      <c r="F102" s="531" t="s">
        <v>360</v>
      </c>
      <c r="G102" s="506">
        <v>1100</v>
      </c>
      <c r="H102" s="506">
        <v>1200</v>
      </c>
      <c r="I102" s="509">
        <f>H102-G102</f>
        <v>100</v>
      </c>
      <c r="J102" s="880">
        <f t="shared" si="6"/>
        <v>9.0909090909090912E-2</v>
      </c>
      <c r="K102" s="527"/>
      <c r="L102" s="507"/>
      <c r="M102" s="409"/>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8"/>
      <c r="AL102" s="408"/>
      <c r="AM102" s="408"/>
      <c r="AN102" s="408"/>
      <c r="AO102" s="408"/>
      <c r="AP102" s="408"/>
      <c r="AQ102" s="408"/>
      <c r="AR102" s="408"/>
      <c r="AS102" s="408"/>
      <c r="AT102" s="408"/>
      <c r="AU102" s="408"/>
      <c r="AV102" s="408"/>
      <c r="AW102" s="408"/>
      <c r="AX102" s="408"/>
      <c r="AY102" s="408"/>
      <c r="AZ102" s="408"/>
      <c r="BA102" s="408"/>
      <c r="BB102" s="408"/>
      <c r="BC102" s="408"/>
      <c r="BD102" s="408"/>
      <c r="BE102" s="408"/>
      <c r="BF102" s="408"/>
      <c r="BG102" s="408"/>
      <c r="BH102" s="408"/>
      <c r="BI102" s="408"/>
      <c r="BJ102" s="408"/>
      <c r="BK102" s="408"/>
      <c r="BL102" s="408"/>
      <c r="BM102" s="408"/>
      <c r="BN102" s="408"/>
      <c r="BO102" s="408"/>
      <c r="BP102" s="408"/>
      <c r="BQ102" s="408"/>
      <c r="BR102" s="408"/>
      <c r="BS102" s="408"/>
      <c r="BT102" s="408"/>
      <c r="BU102" s="408"/>
      <c r="BV102" s="408"/>
      <c r="BW102" s="408"/>
      <c r="BX102" s="408"/>
      <c r="BY102" s="408"/>
      <c r="BZ102" s="408"/>
      <c r="CA102" s="408"/>
      <c r="CB102" s="408"/>
      <c r="CC102" s="408"/>
      <c r="CD102" s="408"/>
      <c r="CE102" s="408"/>
      <c r="CF102" s="408"/>
      <c r="CG102" s="408"/>
      <c r="CH102" s="408"/>
      <c r="CI102" s="408"/>
      <c r="CJ102" s="408"/>
      <c r="CK102" s="408"/>
      <c r="CL102" s="408"/>
      <c r="CM102" s="408"/>
      <c r="CN102" s="408"/>
      <c r="CO102" s="408"/>
      <c r="CP102" s="408"/>
      <c r="CQ102" s="408"/>
      <c r="CR102" s="408"/>
      <c r="CS102" s="408"/>
      <c r="CT102" s="408"/>
      <c r="CU102" s="408"/>
      <c r="CV102" s="408"/>
      <c r="CW102" s="408"/>
      <c r="CX102" s="408"/>
      <c r="CY102" s="408"/>
      <c r="CZ102" s="408"/>
      <c r="DA102" s="408"/>
      <c r="DB102" s="408"/>
      <c r="DC102" s="408"/>
      <c r="DD102" s="408"/>
      <c r="DE102" s="408"/>
      <c r="DF102" s="408"/>
      <c r="DG102" s="408"/>
      <c r="DH102" s="408"/>
      <c r="DI102" s="408"/>
      <c r="DJ102" s="408"/>
      <c r="DK102" s="408"/>
      <c r="DL102" s="408"/>
      <c r="DM102" s="408"/>
      <c r="DN102" s="408"/>
      <c r="DO102" s="408"/>
      <c r="DP102" s="408"/>
      <c r="DQ102" s="408"/>
      <c r="DR102" s="408"/>
      <c r="DS102" s="408"/>
      <c r="DT102" s="408"/>
      <c r="DU102" s="408"/>
      <c r="DV102" s="408"/>
      <c r="DW102" s="408"/>
      <c r="DX102" s="408"/>
      <c r="DY102" s="408"/>
      <c r="DZ102" s="408"/>
      <c r="EA102" s="408"/>
      <c r="EB102" s="408"/>
      <c r="EC102" s="408"/>
      <c r="ED102" s="408"/>
      <c r="EE102" s="408"/>
      <c r="EF102" s="408"/>
      <c r="EG102" s="408"/>
      <c r="EH102" s="408"/>
      <c r="EI102" s="408"/>
      <c r="EJ102" s="408"/>
      <c r="EK102" s="408"/>
      <c r="EL102" s="408"/>
      <c r="EM102" s="408"/>
      <c r="EN102" s="408"/>
      <c r="EO102" s="408"/>
      <c r="EP102" s="408"/>
      <c r="EQ102" s="408"/>
      <c r="ER102" s="408"/>
      <c r="ES102" s="408"/>
      <c r="ET102" s="408"/>
      <c r="EU102" s="408"/>
      <c r="EV102" s="408"/>
      <c r="EW102" s="408"/>
      <c r="EX102" s="408"/>
      <c r="EY102" s="408"/>
      <c r="EZ102" s="408"/>
      <c r="FA102" s="408"/>
      <c r="FB102" s="408"/>
      <c r="FC102" s="408"/>
      <c r="FD102" s="408"/>
      <c r="FE102" s="408"/>
      <c r="FF102" s="408"/>
      <c r="FG102" s="408"/>
      <c r="FH102" s="408"/>
      <c r="FI102" s="408"/>
      <c r="FJ102" s="408"/>
      <c r="FK102" s="408"/>
      <c r="FL102" s="408"/>
      <c r="FM102" s="408"/>
      <c r="FN102" s="408"/>
      <c r="FO102" s="408"/>
      <c r="FP102" s="408"/>
      <c r="FQ102" s="408"/>
      <c r="FR102" s="408"/>
      <c r="FS102" s="408"/>
      <c r="FT102" s="408"/>
      <c r="FU102" s="408"/>
      <c r="FV102" s="408"/>
      <c r="FW102" s="408"/>
      <c r="FX102" s="408"/>
      <c r="FY102" s="408"/>
      <c r="FZ102" s="408"/>
      <c r="GA102" s="408"/>
      <c r="GB102" s="408"/>
      <c r="GC102" s="408"/>
      <c r="GD102" s="408"/>
      <c r="GE102" s="408"/>
      <c r="GF102" s="408"/>
      <c r="GG102" s="408"/>
      <c r="GH102" s="408"/>
      <c r="GI102" s="408"/>
      <c r="GJ102" s="408"/>
      <c r="GK102" s="408"/>
      <c r="GL102" s="408"/>
      <c r="GM102" s="408"/>
      <c r="GN102" s="408"/>
    </row>
    <row r="103" spans="1:196" s="525" customFormat="1" ht="13.8" hidden="1" outlineLevel="1" x14ac:dyDescent="0.25">
      <c r="A103" s="810"/>
      <c r="B103" s="810"/>
      <c r="C103" s="923"/>
      <c r="D103" s="923"/>
      <c r="E103" s="523"/>
      <c r="F103" s="531" t="s">
        <v>555</v>
      </c>
      <c r="G103" s="505" t="e">
        <v>#REF!</v>
      </c>
      <c r="H103" s="505" t="e">
        <v>#REF!</v>
      </c>
      <c r="I103" s="510" t="e">
        <f t="shared" si="4"/>
        <v>#REF!</v>
      </c>
      <c r="J103" s="876" t="str">
        <f t="shared" si="6"/>
        <v>-</v>
      </c>
      <c r="K103" s="526"/>
      <c r="L103" s="507"/>
      <c r="M103" s="1122"/>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5"/>
      <c r="AL103" s="515"/>
      <c r="AM103" s="515"/>
      <c r="AN103" s="515"/>
      <c r="AO103" s="515"/>
      <c r="AP103" s="515"/>
      <c r="AQ103" s="515"/>
      <c r="AR103" s="515"/>
      <c r="AS103" s="515"/>
      <c r="AT103" s="515"/>
      <c r="AU103" s="515"/>
      <c r="AV103" s="515"/>
      <c r="AW103" s="515"/>
      <c r="AX103" s="515"/>
      <c r="AY103" s="515"/>
      <c r="AZ103" s="515"/>
      <c r="BA103" s="515"/>
      <c r="BB103" s="515"/>
      <c r="BC103" s="515"/>
      <c r="BD103" s="515"/>
      <c r="BE103" s="515"/>
      <c r="BF103" s="515"/>
      <c r="BG103" s="515"/>
      <c r="BH103" s="515"/>
      <c r="BI103" s="515"/>
      <c r="BJ103" s="515"/>
      <c r="BK103" s="515"/>
      <c r="BL103" s="515"/>
      <c r="BM103" s="515"/>
      <c r="BN103" s="515"/>
      <c r="BO103" s="515"/>
      <c r="BP103" s="515"/>
      <c r="BQ103" s="515"/>
      <c r="BR103" s="515"/>
      <c r="BS103" s="515"/>
      <c r="BT103" s="515"/>
      <c r="BU103" s="515"/>
      <c r="BV103" s="515"/>
      <c r="BW103" s="515"/>
      <c r="BX103" s="515"/>
      <c r="BY103" s="515"/>
      <c r="BZ103" s="515"/>
      <c r="CA103" s="515"/>
      <c r="CB103" s="515"/>
      <c r="CC103" s="515"/>
      <c r="CD103" s="515"/>
      <c r="CE103" s="515"/>
      <c r="CF103" s="515"/>
      <c r="CG103" s="515"/>
      <c r="CH103" s="515"/>
      <c r="CI103" s="515"/>
      <c r="CJ103" s="515"/>
      <c r="CK103" s="515"/>
      <c r="CL103" s="515"/>
      <c r="CM103" s="515"/>
      <c r="CN103" s="515"/>
      <c r="CO103" s="515"/>
      <c r="CP103" s="515"/>
      <c r="CQ103" s="515"/>
      <c r="CR103" s="515"/>
      <c r="CS103" s="515"/>
      <c r="CT103" s="515"/>
      <c r="CU103" s="515"/>
      <c r="CV103" s="515"/>
      <c r="CW103" s="515"/>
      <c r="CX103" s="515"/>
      <c r="CY103" s="515"/>
      <c r="CZ103" s="515"/>
      <c r="DA103" s="515"/>
      <c r="DB103" s="515"/>
      <c r="DC103" s="515"/>
      <c r="DD103" s="515"/>
      <c r="DE103" s="515"/>
      <c r="DF103" s="515"/>
      <c r="DG103" s="515"/>
      <c r="DH103" s="515"/>
      <c r="DI103" s="515"/>
      <c r="DJ103" s="515"/>
      <c r="DK103" s="515"/>
      <c r="DL103" s="515"/>
      <c r="DM103" s="515"/>
      <c r="DN103" s="515"/>
      <c r="DO103" s="515"/>
      <c r="DP103" s="515"/>
      <c r="DQ103" s="515"/>
      <c r="DR103" s="515"/>
      <c r="DS103" s="515"/>
      <c r="DT103" s="515"/>
      <c r="DU103" s="515"/>
      <c r="DV103" s="515"/>
      <c r="DW103" s="515"/>
      <c r="DX103" s="515"/>
      <c r="DY103" s="515"/>
      <c r="DZ103" s="515"/>
      <c r="EA103" s="515"/>
      <c r="EB103" s="515"/>
      <c r="EC103" s="515"/>
      <c r="ED103" s="515"/>
      <c r="EE103" s="515"/>
      <c r="EF103" s="515"/>
      <c r="EG103" s="515"/>
      <c r="EH103" s="515"/>
      <c r="EI103" s="515"/>
      <c r="EJ103" s="515"/>
      <c r="EK103" s="515"/>
      <c r="EL103" s="515"/>
      <c r="EM103" s="515"/>
      <c r="EN103" s="515"/>
      <c r="EO103" s="515"/>
      <c r="EP103" s="515"/>
      <c r="EQ103" s="515"/>
      <c r="ER103" s="515"/>
      <c r="ES103" s="515"/>
      <c r="ET103" s="515"/>
      <c r="EU103" s="515"/>
      <c r="EV103" s="515"/>
      <c r="EW103" s="515"/>
      <c r="EX103" s="515"/>
      <c r="EY103" s="515"/>
      <c r="EZ103" s="515"/>
      <c r="FA103" s="515"/>
      <c r="FB103" s="515"/>
      <c r="FC103" s="515"/>
      <c r="FD103" s="515"/>
      <c r="FE103" s="515"/>
      <c r="FF103" s="515"/>
      <c r="FG103" s="515"/>
      <c r="FH103" s="515"/>
      <c r="FI103" s="515"/>
      <c r="FJ103" s="515"/>
      <c r="FK103" s="515"/>
      <c r="FL103" s="515"/>
      <c r="FM103" s="515"/>
      <c r="FN103" s="515"/>
      <c r="FO103" s="515"/>
      <c r="FP103" s="515"/>
      <c r="FQ103" s="515"/>
      <c r="FR103" s="515"/>
      <c r="FS103" s="515"/>
      <c r="FT103" s="515"/>
      <c r="FU103" s="515"/>
      <c r="FV103" s="515"/>
      <c r="FW103" s="515"/>
      <c r="FX103" s="515"/>
      <c r="FY103" s="515"/>
      <c r="FZ103" s="515"/>
      <c r="GA103" s="515"/>
      <c r="GB103" s="515"/>
      <c r="GC103" s="515"/>
      <c r="GD103" s="515"/>
      <c r="GE103" s="515"/>
      <c r="GF103" s="515"/>
      <c r="GG103" s="515"/>
      <c r="GH103" s="515"/>
      <c r="GI103" s="515"/>
      <c r="GJ103" s="515"/>
      <c r="GK103" s="515"/>
      <c r="GL103" s="515"/>
      <c r="GM103" s="515"/>
      <c r="GN103" s="515"/>
    </row>
    <row r="104" spans="1:196" s="537" customFormat="1" ht="14.4" hidden="1" outlineLevel="1" x14ac:dyDescent="0.3">
      <c r="A104" s="810"/>
      <c r="B104" s="810"/>
      <c r="C104" s="923"/>
      <c r="D104" s="923"/>
      <c r="E104" s="532"/>
      <c r="F104" s="533" t="s">
        <v>229</v>
      </c>
      <c r="G104" s="534" t="e">
        <v>#REF!</v>
      </c>
      <c r="H104" s="534" t="e">
        <v>#REF!</v>
      </c>
      <c r="I104" s="535" t="e">
        <f>H104-G104</f>
        <v>#REF!</v>
      </c>
      <c r="J104" s="881" t="str">
        <f t="shared" si="6"/>
        <v>-</v>
      </c>
      <c r="K104" s="536"/>
      <c r="L104" s="507"/>
      <c r="M104" s="1123"/>
      <c r="N104" s="926"/>
      <c r="O104" s="926"/>
      <c r="P104" s="926"/>
      <c r="Q104" s="926"/>
      <c r="R104" s="926"/>
      <c r="S104" s="926"/>
      <c r="T104" s="926"/>
      <c r="U104" s="926"/>
      <c r="V104" s="926"/>
      <c r="W104" s="926"/>
      <c r="X104" s="926"/>
      <c r="Y104" s="926"/>
      <c r="Z104" s="926"/>
      <c r="AA104" s="926"/>
      <c r="AB104" s="926"/>
      <c r="AC104" s="926"/>
      <c r="AD104" s="926"/>
      <c r="AE104" s="926"/>
      <c r="AF104" s="926"/>
      <c r="AG104" s="926"/>
      <c r="AH104" s="926"/>
      <c r="AI104" s="926"/>
      <c r="AJ104" s="926"/>
      <c r="AK104" s="926"/>
      <c r="AL104" s="926"/>
      <c r="AM104" s="926"/>
      <c r="AN104" s="926"/>
      <c r="AO104" s="926"/>
      <c r="AP104" s="926"/>
      <c r="AQ104" s="926"/>
      <c r="AR104" s="926"/>
      <c r="AS104" s="926"/>
      <c r="AT104" s="926"/>
      <c r="AU104" s="926"/>
      <c r="AV104" s="926"/>
      <c r="AW104" s="926"/>
      <c r="AX104" s="926"/>
      <c r="AY104" s="926"/>
      <c r="AZ104" s="926"/>
      <c r="BA104" s="926"/>
      <c r="BB104" s="926"/>
      <c r="BC104" s="926"/>
      <c r="BD104" s="926"/>
      <c r="BE104" s="926"/>
      <c r="BF104" s="926"/>
      <c r="BG104" s="926"/>
      <c r="BH104" s="926"/>
      <c r="BI104" s="926"/>
      <c r="BJ104" s="926"/>
      <c r="BK104" s="926"/>
      <c r="BL104" s="926"/>
      <c r="BM104" s="926"/>
      <c r="BN104" s="926"/>
      <c r="BO104" s="926"/>
      <c r="BP104" s="926"/>
      <c r="BQ104" s="926"/>
      <c r="BR104" s="926"/>
      <c r="BS104" s="926"/>
      <c r="BT104" s="926"/>
      <c r="BU104" s="926"/>
      <c r="BV104" s="926"/>
      <c r="BW104" s="926"/>
      <c r="BX104" s="926"/>
      <c r="BY104" s="926"/>
      <c r="BZ104" s="926"/>
      <c r="CA104" s="926"/>
      <c r="CB104" s="926"/>
      <c r="CC104" s="926"/>
      <c r="CD104" s="926"/>
      <c r="CE104" s="926"/>
      <c r="CF104" s="926"/>
      <c r="CG104" s="926"/>
      <c r="CH104" s="926"/>
      <c r="CI104" s="926"/>
      <c r="CJ104" s="926"/>
      <c r="CK104" s="926"/>
      <c r="CL104" s="926"/>
      <c r="CM104" s="926"/>
      <c r="CN104" s="926"/>
      <c r="CO104" s="926"/>
      <c r="CP104" s="926"/>
      <c r="CQ104" s="926"/>
      <c r="CR104" s="926"/>
      <c r="CS104" s="926"/>
      <c r="CT104" s="926"/>
      <c r="CU104" s="926"/>
      <c r="CV104" s="926"/>
      <c r="CW104" s="926"/>
      <c r="CX104" s="926"/>
      <c r="CY104" s="926"/>
      <c r="CZ104" s="926"/>
      <c r="DA104" s="926"/>
      <c r="DB104" s="926"/>
      <c r="DC104" s="926"/>
      <c r="DD104" s="926"/>
      <c r="DE104" s="926"/>
      <c r="DF104" s="926"/>
      <c r="DG104" s="926"/>
      <c r="DH104" s="926"/>
      <c r="DI104" s="926"/>
      <c r="DJ104" s="926"/>
      <c r="DK104" s="926"/>
      <c r="DL104" s="926"/>
      <c r="DM104" s="926"/>
      <c r="DN104" s="926"/>
      <c r="DO104" s="926"/>
      <c r="DP104" s="926"/>
      <c r="DQ104" s="926"/>
      <c r="DR104" s="926"/>
      <c r="DS104" s="926"/>
      <c r="DT104" s="926"/>
      <c r="DU104" s="926"/>
      <c r="DV104" s="926"/>
      <c r="DW104" s="926"/>
      <c r="DX104" s="926"/>
      <c r="DY104" s="926"/>
      <c r="DZ104" s="926"/>
      <c r="EA104" s="926"/>
      <c r="EB104" s="926"/>
      <c r="EC104" s="926"/>
      <c r="ED104" s="926"/>
      <c r="EE104" s="926"/>
      <c r="EF104" s="926"/>
      <c r="EG104" s="926"/>
      <c r="EH104" s="926"/>
      <c r="EI104" s="926"/>
      <c r="EJ104" s="926"/>
      <c r="EK104" s="926"/>
      <c r="EL104" s="926"/>
      <c r="EM104" s="926"/>
      <c r="EN104" s="926"/>
      <c r="EO104" s="926"/>
      <c r="EP104" s="926"/>
      <c r="EQ104" s="926"/>
      <c r="ER104" s="926"/>
      <c r="ES104" s="926"/>
      <c r="ET104" s="926"/>
      <c r="EU104" s="926"/>
      <c r="EV104" s="926"/>
      <c r="EW104" s="926"/>
      <c r="EX104" s="926"/>
      <c r="EY104" s="926"/>
      <c r="EZ104" s="926"/>
      <c r="FA104" s="926"/>
      <c r="FB104" s="926"/>
      <c r="FC104" s="926"/>
      <c r="FD104" s="926"/>
      <c r="FE104" s="926"/>
      <c r="FF104" s="926"/>
      <c r="FG104" s="926"/>
      <c r="FH104" s="926"/>
      <c r="FI104" s="926"/>
      <c r="FJ104" s="926"/>
      <c r="FK104" s="926"/>
      <c r="FL104" s="926"/>
      <c r="FM104" s="926"/>
      <c r="FN104" s="926"/>
      <c r="FO104" s="926"/>
      <c r="FP104" s="926"/>
      <c r="FQ104" s="926"/>
      <c r="FR104" s="926"/>
      <c r="FS104" s="926"/>
      <c r="FT104" s="926"/>
      <c r="FU104" s="926"/>
      <c r="FV104" s="926"/>
      <c r="FW104" s="926"/>
      <c r="FX104" s="926"/>
      <c r="FY104" s="926"/>
      <c r="FZ104" s="926"/>
      <c r="GA104" s="926"/>
      <c r="GB104" s="926"/>
      <c r="GC104" s="926"/>
      <c r="GD104" s="926"/>
      <c r="GE104" s="926"/>
      <c r="GF104" s="926"/>
      <c r="GG104" s="926"/>
      <c r="GH104" s="926"/>
      <c r="GI104" s="926"/>
      <c r="GJ104" s="926"/>
      <c r="GK104" s="926"/>
      <c r="GL104" s="926"/>
      <c r="GM104" s="926"/>
      <c r="GN104" s="926"/>
    </row>
    <row r="105" spans="1:196" ht="13.8" collapsed="1" x14ac:dyDescent="0.25">
      <c r="A105" s="810" t="s">
        <v>764</v>
      </c>
      <c r="C105" s="923">
        <v>70497</v>
      </c>
      <c r="D105" s="923">
        <f>C105-G105</f>
        <v>0</v>
      </c>
      <c r="E105" s="141" t="s">
        <v>20</v>
      </c>
      <c r="F105" s="145" t="s">
        <v>81</v>
      </c>
      <c r="G105" s="300">
        <v>70497</v>
      </c>
      <c r="H105" s="311">
        <v>70000</v>
      </c>
      <c r="I105" s="146">
        <f t="shared" ref="I105" si="13">H105-G105</f>
        <v>-497</v>
      </c>
      <c r="J105" s="882">
        <f t="shared" ref="J105" si="14">IFERROR(I105/G105,"-")</f>
        <v>-7.0499453877469961E-3</v>
      </c>
      <c r="K105" s="427"/>
      <c r="L105" s="224"/>
    </row>
    <row r="106" spans="1:196" ht="13.8" x14ac:dyDescent="0.25">
      <c r="C106" s="923">
        <f>278491</f>
        <v>278491</v>
      </c>
      <c r="D106" s="923">
        <f>C106-G106</f>
        <v>-25000</v>
      </c>
      <c r="E106" s="141" t="s">
        <v>21</v>
      </c>
      <c r="F106" s="145" t="s">
        <v>207</v>
      </c>
      <c r="G106" s="300">
        <v>303491</v>
      </c>
      <c r="H106" s="311">
        <v>313523.70461999997</v>
      </c>
      <c r="I106" s="146">
        <f t="shared" si="4"/>
        <v>10032.704619999975</v>
      </c>
      <c r="J106" s="882">
        <f t="shared" si="6"/>
        <v>3.3057667673835382E-2</v>
      </c>
      <c r="K106" s="427"/>
      <c r="L106" s="224"/>
    </row>
    <row r="107" spans="1:196" s="104" customFormat="1" ht="13.8" hidden="1" outlineLevel="1" x14ac:dyDescent="0.25">
      <c r="A107" s="810" t="s">
        <v>754</v>
      </c>
      <c r="B107" s="810" t="s">
        <v>228</v>
      </c>
      <c r="C107" s="923"/>
      <c r="D107" s="923"/>
      <c r="E107" s="159"/>
      <c r="F107" s="160" t="s">
        <v>228</v>
      </c>
      <c r="G107" s="296">
        <v>259758</v>
      </c>
      <c r="H107" s="304">
        <v>258193.14461999998</v>
      </c>
      <c r="I107" s="122">
        <f t="shared" si="4"/>
        <v>-1564.8553800000227</v>
      </c>
      <c r="J107" s="865">
        <f t="shared" si="6"/>
        <v>-6.0242817545562511E-3</v>
      </c>
      <c r="K107" s="419" t="s">
        <v>1612</v>
      </c>
      <c r="L107" s="224"/>
      <c r="M107" s="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row>
    <row r="108" spans="1:196" s="104" customFormat="1" ht="61.2" hidden="1" customHeight="1" outlineLevel="1" x14ac:dyDescent="0.25">
      <c r="A108" s="810" t="s">
        <v>754</v>
      </c>
      <c r="B108" s="810" t="s">
        <v>554</v>
      </c>
      <c r="C108" s="923"/>
      <c r="D108" s="923"/>
      <c r="E108" s="214"/>
      <c r="F108" s="215" t="s">
        <v>198</v>
      </c>
      <c r="G108" s="296">
        <v>39904</v>
      </c>
      <c r="H108" s="304">
        <v>52430.559999999998</v>
      </c>
      <c r="I108" s="153">
        <f t="shared" si="4"/>
        <v>12526.559999999998</v>
      </c>
      <c r="J108" s="878">
        <f t="shared" si="6"/>
        <v>0.31391740176423411</v>
      </c>
      <c r="K108" s="1131" t="s">
        <v>1637</v>
      </c>
      <c r="L108" s="224"/>
      <c r="M108" s="107"/>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row>
    <row r="109" spans="1:196" s="104" customFormat="1" ht="13.8" hidden="1" outlineLevel="1" x14ac:dyDescent="0.25">
      <c r="A109" s="810" t="s">
        <v>754</v>
      </c>
      <c r="B109" s="810" t="s">
        <v>556</v>
      </c>
      <c r="C109" s="923"/>
      <c r="D109" s="923"/>
      <c r="E109" s="159"/>
      <c r="F109" s="160" t="s">
        <v>197</v>
      </c>
      <c r="G109" s="296">
        <v>3829</v>
      </c>
      <c r="H109" s="304">
        <v>2900</v>
      </c>
      <c r="I109" s="153">
        <f t="shared" si="4"/>
        <v>-929</v>
      </c>
      <c r="J109" s="878">
        <f t="shared" si="6"/>
        <v>-0.24262209454165579</v>
      </c>
      <c r="K109" s="501"/>
      <c r="L109" s="224"/>
      <c r="M109" s="107"/>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row>
    <row r="110" spans="1:196" s="525" customFormat="1" ht="13.8" hidden="1" outlineLevel="1" x14ac:dyDescent="0.25">
      <c r="A110" s="1101" t="s">
        <v>754</v>
      </c>
      <c r="B110" s="1101" t="s">
        <v>555</v>
      </c>
      <c r="C110" s="1102"/>
      <c r="D110" s="1102"/>
      <c r="E110" s="523"/>
      <c r="F110" s="520" t="s">
        <v>555</v>
      </c>
      <c r="G110" s="504">
        <v>0</v>
      </c>
      <c r="H110" s="504">
        <v>0</v>
      </c>
      <c r="I110" s="510">
        <f t="shared" si="4"/>
        <v>0</v>
      </c>
      <c r="J110" s="876" t="str">
        <f t="shared" si="6"/>
        <v>-</v>
      </c>
      <c r="K110" s="1141"/>
      <c r="L110" s="507"/>
      <c r="M110" s="1122"/>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5"/>
      <c r="AM110" s="515"/>
      <c r="AN110" s="515"/>
      <c r="AO110" s="515"/>
      <c r="AP110" s="515"/>
      <c r="AQ110" s="515"/>
      <c r="AR110" s="515"/>
      <c r="AS110" s="515"/>
      <c r="AT110" s="515"/>
      <c r="AU110" s="515"/>
      <c r="AV110" s="515"/>
      <c r="AW110" s="515"/>
      <c r="AX110" s="515"/>
      <c r="AY110" s="515"/>
      <c r="AZ110" s="515"/>
      <c r="BA110" s="515"/>
      <c r="BB110" s="515"/>
      <c r="BC110" s="515"/>
      <c r="BD110" s="515"/>
      <c r="BE110" s="515"/>
      <c r="BF110" s="515"/>
      <c r="BG110" s="515"/>
      <c r="BH110" s="515"/>
      <c r="BI110" s="515"/>
      <c r="BJ110" s="515"/>
      <c r="BK110" s="515"/>
      <c r="BL110" s="515"/>
      <c r="BM110" s="515"/>
      <c r="BN110" s="515"/>
      <c r="BO110" s="515"/>
      <c r="BP110" s="515"/>
      <c r="BQ110" s="515"/>
      <c r="BR110" s="515"/>
      <c r="BS110" s="515"/>
      <c r="BT110" s="515"/>
      <c r="BU110" s="515"/>
      <c r="BV110" s="515"/>
      <c r="BW110" s="515"/>
      <c r="BX110" s="515"/>
      <c r="BY110" s="515"/>
      <c r="BZ110" s="515"/>
      <c r="CA110" s="515"/>
      <c r="CB110" s="515"/>
      <c r="CC110" s="515"/>
      <c r="CD110" s="515"/>
      <c r="CE110" s="515"/>
      <c r="CF110" s="515"/>
      <c r="CG110" s="515"/>
      <c r="CH110" s="515"/>
      <c r="CI110" s="515"/>
      <c r="CJ110" s="515"/>
      <c r="CK110" s="515"/>
      <c r="CL110" s="515"/>
      <c r="CM110" s="515"/>
      <c r="CN110" s="515"/>
      <c r="CO110" s="515"/>
      <c r="CP110" s="515"/>
      <c r="CQ110" s="515"/>
      <c r="CR110" s="515"/>
      <c r="CS110" s="515"/>
      <c r="CT110" s="515"/>
      <c r="CU110" s="515"/>
      <c r="CV110" s="515"/>
      <c r="CW110" s="515"/>
      <c r="CX110" s="515"/>
      <c r="CY110" s="515"/>
      <c r="CZ110" s="515"/>
      <c r="DA110" s="515"/>
      <c r="DB110" s="515"/>
      <c r="DC110" s="515"/>
      <c r="DD110" s="515"/>
      <c r="DE110" s="515"/>
      <c r="DF110" s="515"/>
      <c r="DG110" s="515"/>
      <c r="DH110" s="515"/>
      <c r="DI110" s="515"/>
      <c r="DJ110" s="515"/>
      <c r="DK110" s="515"/>
      <c r="DL110" s="515"/>
      <c r="DM110" s="515"/>
      <c r="DN110" s="515"/>
      <c r="DO110" s="515"/>
      <c r="DP110" s="515"/>
      <c r="DQ110" s="515"/>
      <c r="DR110" s="515"/>
      <c r="DS110" s="515"/>
      <c r="DT110" s="515"/>
      <c r="DU110" s="515"/>
      <c r="DV110" s="515"/>
      <c r="DW110" s="515"/>
      <c r="DX110" s="515"/>
      <c r="DY110" s="515"/>
      <c r="DZ110" s="515"/>
      <c r="EA110" s="515"/>
      <c r="EB110" s="515"/>
      <c r="EC110" s="515"/>
      <c r="ED110" s="515"/>
      <c r="EE110" s="515"/>
      <c r="EF110" s="515"/>
      <c r="EG110" s="515"/>
      <c r="EH110" s="515"/>
      <c r="EI110" s="515"/>
      <c r="EJ110" s="515"/>
      <c r="EK110" s="515"/>
      <c r="EL110" s="515"/>
      <c r="EM110" s="515"/>
      <c r="EN110" s="515"/>
      <c r="EO110" s="515"/>
      <c r="EP110" s="515"/>
      <c r="EQ110" s="515"/>
      <c r="ER110" s="515"/>
      <c r="ES110" s="515"/>
      <c r="ET110" s="515"/>
      <c r="EU110" s="515"/>
      <c r="EV110" s="515"/>
      <c r="EW110" s="515"/>
      <c r="EX110" s="515"/>
      <c r="EY110" s="515"/>
      <c r="EZ110" s="515"/>
      <c r="FA110" s="515"/>
      <c r="FB110" s="515"/>
      <c r="FC110" s="515"/>
      <c r="FD110" s="515"/>
      <c r="FE110" s="515"/>
      <c r="FF110" s="515"/>
      <c r="FG110" s="515"/>
      <c r="FH110" s="515"/>
      <c r="FI110" s="515"/>
      <c r="FJ110" s="515"/>
      <c r="FK110" s="515"/>
      <c r="FL110" s="515"/>
      <c r="FM110" s="515"/>
      <c r="FN110" s="515"/>
      <c r="FO110" s="515"/>
      <c r="FP110" s="515"/>
      <c r="FQ110" s="515"/>
      <c r="FR110" s="515"/>
      <c r="FS110" s="515"/>
      <c r="FT110" s="515"/>
      <c r="FU110" s="515"/>
      <c r="FV110" s="515"/>
      <c r="FW110" s="515"/>
      <c r="FX110" s="515"/>
      <c r="FY110" s="515"/>
      <c r="FZ110" s="515"/>
      <c r="GA110" s="515"/>
      <c r="GB110" s="515"/>
      <c r="GC110" s="515"/>
      <c r="GD110" s="515"/>
      <c r="GE110" s="515"/>
      <c r="GF110" s="515"/>
      <c r="GG110" s="515"/>
      <c r="GH110" s="515"/>
      <c r="GI110" s="515"/>
      <c r="GJ110" s="515"/>
      <c r="GK110" s="515"/>
      <c r="GL110" s="515"/>
      <c r="GM110" s="515"/>
      <c r="GN110" s="515"/>
    </row>
    <row r="111" spans="1:196" ht="13.8" collapsed="1" x14ac:dyDescent="0.25">
      <c r="C111" s="923">
        <f>879729-G115-G116-G117</f>
        <v>623988</v>
      </c>
      <c r="D111" s="923">
        <f>C111-G111</f>
        <v>184441.62300000002</v>
      </c>
      <c r="E111" s="141" t="s">
        <v>1173</v>
      </c>
      <c r="F111" s="145" t="s">
        <v>670</v>
      </c>
      <c r="G111" s="300">
        <v>439546.37699999998</v>
      </c>
      <c r="H111" s="311">
        <v>416624.16911999998</v>
      </c>
      <c r="I111" s="146">
        <f t="shared" si="4"/>
        <v>-22922.207880000002</v>
      </c>
      <c r="J111" s="882">
        <f t="shared" si="6"/>
        <v>-5.2149691316873269E-2</v>
      </c>
      <c r="K111" s="1140"/>
      <c r="L111" s="224"/>
    </row>
    <row r="112" spans="1:196" s="104" customFormat="1" ht="30" hidden="1" customHeight="1" outlineLevel="1" x14ac:dyDescent="0.25">
      <c r="A112" s="810" t="s">
        <v>1164</v>
      </c>
      <c r="B112" s="810" t="s">
        <v>228</v>
      </c>
      <c r="C112" s="923"/>
      <c r="D112" s="923"/>
      <c r="E112" s="159"/>
      <c r="F112" s="160" t="s">
        <v>228</v>
      </c>
      <c r="G112" s="296">
        <v>256518.91899999999</v>
      </c>
      <c r="H112" s="304">
        <v>242025.56911999997</v>
      </c>
      <c r="I112" s="153">
        <f t="shared" si="4"/>
        <v>-14493.349880000023</v>
      </c>
      <c r="J112" s="878">
        <f t="shared" si="6"/>
        <v>-5.6500120679208163E-2</v>
      </c>
      <c r="K112" s="1132" t="s">
        <v>1638</v>
      </c>
      <c r="L112" s="224"/>
      <c r="M112" s="107"/>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row>
    <row r="113" spans="1:196" s="104" customFormat="1" ht="15" hidden="1" customHeight="1" outlineLevel="1" x14ac:dyDescent="0.25">
      <c r="A113" s="810" t="s">
        <v>1164</v>
      </c>
      <c r="B113" s="810" t="s">
        <v>554</v>
      </c>
      <c r="C113" s="923"/>
      <c r="D113" s="923"/>
      <c r="E113" s="214"/>
      <c r="F113" s="215" t="s">
        <v>198</v>
      </c>
      <c r="G113" s="296">
        <v>177236.45799999998</v>
      </c>
      <c r="H113" s="304">
        <v>171598.6</v>
      </c>
      <c r="I113" s="153">
        <f t="shared" si="4"/>
        <v>-5637.8579999999783</v>
      </c>
      <c r="J113" s="878">
        <f t="shared" si="6"/>
        <v>-3.1809809695023235E-2</v>
      </c>
      <c r="K113" s="1131"/>
      <c r="L113" s="224"/>
      <c r="M113" s="107"/>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row>
    <row r="114" spans="1:196" s="104" customFormat="1" ht="13.8" hidden="1" outlineLevel="1" x14ac:dyDescent="0.25">
      <c r="A114" s="810" t="s">
        <v>1164</v>
      </c>
      <c r="B114" s="810" t="s">
        <v>556</v>
      </c>
      <c r="C114" s="923"/>
      <c r="D114" s="923"/>
      <c r="E114" s="159"/>
      <c r="F114" s="160" t="s">
        <v>197</v>
      </c>
      <c r="G114" s="296">
        <v>5791</v>
      </c>
      <c r="H114" s="304">
        <v>3000</v>
      </c>
      <c r="I114" s="153">
        <f t="shared" ref="I114:I136" si="15">H114-G114</f>
        <v>-2791</v>
      </c>
      <c r="J114" s="878">
        <f t="shared" ref="J114:J142" si="16">IFERROR(I114/G114,"-")</f>
        <v>-0.48195475738214472</v>
      </c>
      <c r="K114" s="501"/>
      <c r="L114" s="224"/>
      <c r="M114" s="107"/>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row>
    <row r="115" spans="1:196" s="104" customFormat="1" ht="13.8" hidden="1" outlineLevel="1" x14ac:dyDescent="0.25">
      <c r="A115" s="810" t="s">
        <v>1164</v>
      </c>
      <c r="B115" s="810" t="s">
        <v>182</v>
      </c>
      <c r="C115" s="923"/>
      <c r="D115" s="923"/>
      <c r="E115" s="326"/>
      <c r="F115" s="327" t="s">
        <v>361</v>
      </c>
      <c r="G115" s="296">
        <v>1100</v>
      </c>
      <c r="H115" s="304">
        <v>1200</v>
      </c>
      <c r="I115" s="153">
        <f t="shared" si="15"/>
        <v>100</v>
      </c>
      <c r="J115" s="878">
        <f t="shared" si="16"/>
        <v>9.0909090909090912E-2</v>
      </c>
      <c r="K115" s="501"/>
      <c r="L115" s="224"/>
      <c r="M115" s="107"/>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row>
    <row r="116" spans="1:196" s="525" customFormat="1" ht="13.8" hidden="1" outlineLevel="1" x14ac:dyDescent="0.25">
      <c r="A116" s="1415" t="s">
        <v>1164</v>
      </c>
      <c r="B116" s="1415" t="s">
        <v>555</v>
      </c>
      <c r="C116" s="1416"/>
      <c r="D116" s="1416"/>
      <c r="E116" s="523"/>
      <c r="F116" s="520" t="s">
        <v>555</v>
      </c>
      <c r="G116" s="505">
        <v>196787</v>
      </c>
      <c r="H116" s="505">
        <v>15259</v>
      </c>
      <c r="I116" s="510">
        <f>H116-G116</f>
        <v>-181528</v>
      </c>
      <c r="J116" s="876">
        <f t="shared" si="16"/>
        <v>-0.92245930879580462</v>
      </c>
      <c r="K116" s="1141"/>
      <c r="L116" s="1417"/>
      <c r="M116" s="1122"/>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5"/>
      <c r="AM116" s="515"/>
      <c r="AN116" s="515"/>
      <c r="AO116" s="515"/>
      <c r="AP116" s="515"/>
      <c r="AQ116" s="515"/>
      <c r="AR116" s="515"/>
      <c r="AS116" s="515"/>
      <c r="AT116" s="515"/>
      <c r="AU116" s="515"/>
      <c r="AV116" s="515"/>
      <c r="AW116" s="515"/>
      <c r="AX116" s="515"/>
      <c r="AY116" s="515"/>
      <c r="AZ116" s="515"/>
      <c r="BA116" s="515"/>
      <c r="BB116" s="515"/>
      <c r="BC116" s="515"/>
      <c r="BD116" s="515"/>
      <c r="BE116" s="515"/>
      <c r="BF116" s="515"/>
      <c r="BG116" s="515"/>
      <c r="BH116" s="515"/>
      <c r="BI116" s="515"/>
      <c r="BJ116" s="515"/>
      <c r="BK116" s="515"/>
      <c r="BL116" s="515"/>
      <c r="BM116" s="515"/>
      <c r="BN116" s="515"/>
      <c r="BO116" s="515"/>
      <c r="BP116" s="515"/>
      <c r="BQ116" s="515"/>
      <c r="BR116" s="515"/>
      <c r="BS116" s="515"/>
      <c r="BT116" s="515"/>
      <c r="BU116" s="515"/>
      <c r="BV116" s="515"/>
      <c r="BW116" s="515"/>
      <c r="BX116" s="515"/>
      <c r="BY116" s="515"/>
      <c r="BZ116" s="515"/>
      <c r="CA116" s="515"/>
      <c r="CB116" s="515"/>
      <c r="CC116" s="515"/>
      <c r="CD116" s="515"/>
      <c r="CE116" s="515"/>
      <c r="CF116" s="515"/>
      <c r="CG116" s="515"/>
      <c r="CH116" s="515"/>
      <c r="CI116" s="515"/>
      <c r="CJ116" s="515"/>
      <c r="CK116" s="515"/>
      <c r="CL116" s="515"/>
      <c r="CM116" s="515"/>
      <c r="CN116" s="515"/>
      <c r="CO116" s="515"/>
      <c r="CP116" s="515"/>
      <c r="CQ116" s="515"/>
      <c r="CR116" s="515"/>
      <c r="CS116" s="515"/>
      <c r="CT116" s="515"/>
      <c r="CU116" s="515"/>
      <c r="CV116" s="515"/>
      <c r="CW116" s="515"/>
      <c r="CX116" s="515"/>
      <c r="CY116" s="515"/>
      <c r="CZ116" s="515"/>
      <c r="DA116" s="515"/>
      <c r="DB116" s="515"/>
      <c r="DC116" s="515"/>
      <c r="DD116" s="515"/>
      <c r="DE116" s="515"/>
      <c r="DF116" s="515"/>
      <c r="DG116" s="515"/>
      <c r="DH116" s="515"/>
      <c r="DI116" s="515"/>
      <c r="DJ116" s="515"/>
      <c r="DK116" s="515"/>
      <c r="DL116" s="515"/>
      <c r="DM116" s="515"/>
      <c r="DN116" s="515"/>
      <c r="DO116" s="515"/>
      <c r="DP116" s="515"/>
      <c r="DQ116" s="515"/>
      <c r="DR116" s="515"/>
      <c r="DS116" s="515"/>
      <c r="DT116" s="515"/>
      <c r="DU116" s="515"/>
      <c r="DV116" s="515"/>
      <c r="DW116" s="515"/>
      <c r="DX116" s="515"/>
      <c r="DY116" s="515"/>
      <c r="DZ116" s="515"/>
      <c r="EA116" s="515"/>
      <c r="EB116" s="515"/>
      <c r="EC116" s="515"/>
      <c r="ED116" s="515"/>
      <c r="EE116" s="515"/>
      <c r="EF116" s="515"/>
      <c r="EG116" s="515"/>
      <c r="EH116" s="515"/>
      <c r="EI116" s="515"/>
      <c r="EJ116" s="515"/>
      <c r="EK116" s="515"/>
      <c r="EL116" s="515"/>
      <c r="EM116" s="515"/>
      <c r="EN116" s="515"/>
      <c r="EO116" s="515"/>
      <c r="EP116" s="515"/>
      <c r="EQ116" s="515"/>
      <c r="ER116" s="515"/>
      <c r="ES116" s="515"/>
      <c r="ET116" s="515"/>
      <c r="EU116" s="515"/>
      <c r="EV116" s="515"/>
      <c r="EW116" s="515"/>
      <c r="EX116" s="515"/>
      <c r="EY116" s="515"/>
      <c r="EZ116" s="515"/>
      <c r="FA116" s="515"/>
      <c r="FB116" s="515"/>
      <c r="FC116" s="515"/>
      <c r="FD116" s="515"/>
      <c r="FE116" s="515"/>
      <c r="FF116" s="515"/>
      <c r="FG116" s="515"/>
      <c r="FH116" s="515"/>
      <c r="FI116" s="515"/>
      <c r="FJ116" s="515"/>
      <c r="FK116" s="515"/>
      <c r="FL116" s="515"/>
      <c r="FM116" s="515"/>
      <c r="FN116" s="515"/>
      <c r="FO116" s="515"/>
      <c r="FP116" s="515"/>
      <c r="FQ116" s="515"/>
      <c r="FR116" s="515"/>
      <c r="FS116" s="515"/>
      <c r="FT116" s="515"/>
      <c r="FU116" s="515"/>
      <c r="FV116" s="515"/>
      <c r="FW116" s="515"/>
      <c r="FX116" s="515"/>
      <c r="FY116" s="515"/>
      <c r="FZ116" s="515"/>
      <c r="GA116" s="515"/>
      <c r="GB116" s="515"/>
      <c r="GC116" s="515"/>
      <c r="GD116" s="515"/>
      <c r="GE116" s="515"/>
      <c r="GF116" s="515"/>
      <c r="GG116" s="515"/>
      <c r="GH116" s="515"/>
      <c r="GI116" s="515"/>
      <c r="GJ116" s="515"/>
      <c r="GK116" s="515"/>
      <c r="GL116" s="515"/>
      <c r="GM116" s="515"/>
      <c r="GN116" s="515"/>
    </row>
    <row r="117" spans="1:196" s="525" customFormat="1" ht="16.2" hidden="1" customHeight="1" outlineLevel="1" x14ac:dyDescent="0.25">
      <c r="A117" s="1415" t="s">
        <v>1164</v>
      </c>
      <c r="B117" s="1415" t="s">
        <v>192</v>
      </c>
      <c r="C117" s="1416"/>
      <c r="D117" s="1416"/>
      <c r="E117" s="528"/>
      <c r="F117" s="1103" t="s">
        <v>43</v>
      </c>
      <c r="G117" s="505">
        <v>57854</v>
      </c>
      <c r="H117" s="505">
        <v>38951.97</v>
      </c>
      <c r="I117" s="510">
        <f t="shared" si="15"/>
        <v>-18902.03</v>
      </c>
      <c r="J117" s="876">
        <f t="shared" si="16"/>
        <v>-0.32671950081238976</v>
      </c>
      <c r="K117" s="1141"/>
      <c r="L117" s="1417"/>
      <c r="M117" s="1122"/>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5"/>
      <c r="AM117" s="515"/>
      <c r="AN117" s="515"/>
      <c r="AO117" s="515"/>
      <c r="AP117" s="515"/>
      <c r="AQ117" s="515"/>
      <c r="AR117" s="515"/>
      <c r="AS117" s="515"/>
      <c r="AT117" s="515"/>
      <c r="AU117" s="515"/>
      <c r="AV117" s="515"/>
      <c r="AW117" s="515"/>
      <c r="AX117" s="515"/>
      <c r="AY117" s="515"/>
      <c r="AZ117" s="515"/>
      <c r="BA117" s="515"/>
      <c r="BB117" s="515"/>
      <c r="BC117" s="515"/>
      <c r="BD117" s="515"/>
      <c r="BE117" s="515"/>
      <c r="BF117" s="515"/>
      <c r="BG117" s="515"/>
      <c r="BH117" s="515"/>
      <c r="BI117" s="515"/>
      <c r="BJ117" s="515"/>
      <c r="BK117" s="515"/>
      <c r="BL117" s="515"/>
      <c r="BM117" s="515"/>
      <c r="BN117" s="515"/>
      <c r="BO117" s="515"/>
      <c r="BP117" s="515"/>
      <c r="BQ117" s="515"/>
      <c r="BR117" s="515"/>
      <c r="BS117" s="515"/>
      <c r="BT117" s="515"/>
      <c r="BU117" s="515"/>
      <c r="BV117" s="515"/>
      <c r="BW117" s="515"/>
      <c r="BX117" s="515"/>
      <c r="BY117" s="515"/>
      <c r="BZ117" s="515"/>
      <c r="CA117" s="515"/>
      <c r="CB117" s="515"/>
      <c r="CC117" s="515"/>
      <c r="CD117" s="515"/>
      <c r="CE117" s="515"/>
      <c r="CF117" s="515"/>
      <c r="CG117" s="515"/>
      <c r="CH117" s="515"/>
      <c r="CI117" s="515"/>
      <c r="CJ117" s="515"/>
      <c r="CK117" s="515"/>
      <c r="CL117" s="515"/>
      <c r="CM117" s="515"/>
      <c r="CN117" s="515"/>
      <c r="CO117" s="515"/>
      <c r="CP117" s="515"/>
      <c r="CQ117" s="515"/>
      <c r="CR117" s="515"/>
      <c r="CS117" s="515"/>
      <c r="CT117" s="515"/>
      <c r="CU117" s="515"/>
      <c r="CV117" s="515"/>
      <c r="CW117" s="515"/>
      <c r="CX117" s="515"/>
      <c r="CY117" s="515"/>
      <c r="CZ117" s="515"/>
      <c r="DA117" s="515"/>
      <c r="DB117" s="515"/>
      <c r="DC117" s="515"/>
      <c r="DD117" s="515"/>
      <c r="DE117" s="515"/>
      <c r="DF117" s="515"/>
      <c r="DG117" s="515"/>
      <c r="DH117" s="515"/>
      <c r="DI117" s="515"/>
      <c r="DJ117" s="515"/>
      <c r="DK117" s="515"/>
      <c r="DL117" s="515"/>
      <c r="DM117" s="515"/>
      <c r="DN117" s="515"/>
      <c r="DO117" s="515"/>
      <c r="DP117" s="515"/>
      <c r="DQ117" s="515"/>
      <c r="DR117" s="515"/>
      <c r="DS117" s="515"/>
      <c r="DT117" s="515"/>
      <c r="DU117" s="515"/>
      <c r="DV117" s="515"/>
      <c r="DW117" s="515"/>
      <c r="DX117" s="515"/>
      <c r="DY117" s="515"/>
      <c r="DZ117" s="515"/>
      <c r="EA117" s="515"/>
      <c r="EB117" s="515"/>
      <c r="EC117" s="515"/>
      <c r="ED117" s="515"/>
      <c r="EE117" s="515"/>
      <c r="EF117" s="515"/>
      <c r="EG117" s="515"/>
      <c r="EH117" s="515"/>
      <c r="EI117" s="515"/>
      <c r="EJ117" s="515"/>
      <c r="EK117" s="515"/>
      <c r="EL117" s="515"/>
      <c r="EM117" s="515"/>
      <c r="EN117" s="515"/>
      <c r="EO117" s="515"/>
      <c r="EP117" s="515"/>
      <c r="EQ117" s="515"/>
      <c r="ER117" s="515"/>
      <c r="ES117" s="515"/>
      <c r="ET117" s="515"/>
      <c r="EU117" s="515"/>
      <c r="EV117" s="515"/>
      <c r="EW117" s="515"/>
      <c r="EX117" s="515"/>
      <c r="EY117" s="515"/>
      <c r="EZ117" s="515"/>
      <c r="FA117" s="515"/>
      <c r="FB117" s="515"/>
      <c r="FC117" s="515"/>
      <c r="FD117" s="515"/>
      <c r="FE117" s="515"/>
      <c r="FF117" s="515"/>
      <c r="FG117" s="515"/>
      <c r="FH117" s="515"/>
      <c r="FI117" s="515"/>
      <c r="FJ117" s="515"/>
      <c r="FK117" s="515"/>
      <c r="FL117" s="515"/>
      <c r="FM117" s="515"/>
      <c r="FN117" s="515"/>
      <c r="FO117" s="515"/>
      <c r="FP117" s="515"/>
      <c r="FQ117" s="515"/>
      <c r="FR117" s="515"/>
      <c r="FS117" s="515"/>
      <c r="FT117" s="515"/>
      <c r="FU117" s="515"/>
      <c r="FV117" s="515"/>
      <c r="FW117" s="515"/>
      <c r="FX117" s="515"/>
      <c r="FY117" s="515"/>
      <c r="FZ117" s="515"/>
      <c r="GA117" s="515"/>
      <c r="GB117" s="515"/>
      <c r="GC117" s="515"/>
      <c r="GD117" s="515"/>
      <c r="GE117" s="515"/>
      <c r="GF117" s="515"/>
      <c r="GG117" s="515"/>
      <c r="GH117" s="515"/>
      <c r="GI117" s="515"/>
      <c r="GJ117" s="515"/>
      <c r="GK117" s="515"/>
      <c r="GL117" s="515"/>
      <c r="GM117" s="515"/>
      <c r="GN117" s="515"/>
    </row>
    <row r="118" spans="1:196" s="223" customFormat="1" ht="14.4" hidden="1" outlineLevel="1" x14ac:dyDescent="0.3">
      <c r="A118" s="810"/>
      <c r="B118" s="810"/>
      <c r="C118" s="999"/>
      <c r="D118" s="999"/>
      <c r="E118" s="454" t="s">
        <v>1173</v>
      </c>
      <c r="F118" s="461" t="s">
        <v>229</v>
      </c>
      <c r="G118" s="300"/>
      <c r="H118" s="311"/>
      <c r="I118" s="222">
        <f t="shared" si="15"/>
        <v>0</v>
      </c>
      <c r="J118" s="883" t="str">
        <f t="shared" si="16"/>
        <v>-</v>
      </c>
      <c r="K118" s="1142"/>
      <c r="L118" s="224"/>
      <c r="M118" s="1120"/>
    </row>
    <row r="119" spans="1:196" ht="13.8" collapsed="1" x14ac:dyDescent="0.25">
      <c r="C119" s="923">
        <v>238680</v>
      </c>
      <c r="D119" s="923">
        <f>C119-G119</f>
        <v>25000</v>
      </c>
      <c r="E119" s="141" t="s">
        <v>1174</v>
      </c>
      <c r="F119" s="145" t="s">
        <v>648</v>
      </c>
      <c r="G119" s="300">
        <v>213680</v>
      </c>
      <c r="H119" s="311">
        <v>270341.769065</v>
      </c>
      <c r="I119" s="146">
        <f>H119-G119</f>
        <v>56661.769065</v>
      </c>
      <c r="J119" s="882">
        <f t="shared" si="16"/>
        <v>0.26517113939067766</v>
      </c>
      <c r="K119" s="1140"/>
      <c r="L119" s="224"/>
    </row>
    <row r="120" spans="1:196" s="104" customFormat="1" ht="41.4" hidden="1" outlineLevel="1" x14ac:dyDescent="0.25">
      <c r="A120" s="810" t="s">
        <v>783</v>
      </c>
      <c r="B120" s="810" t="s">
        <v>228</v>
      </c>
      <c r="C120" s="923"/>
      <c r="D120" s="923"/>
      <c r="E120" s="159"/>
      <c r="F120" s="160" t="s">
        <v>228</v>
      </c>
      <c r="G120" s="296">
        <v>181664</v>
      </c>
      <c r="H120" s="304">
        <v>232506.769065</v>
      </c>
      <c r="I120" s="153">
        <f>H120-G120</f>
        <v>50842.769065</v>
      </c>
      <c r="J120" s="878">
        <f t="shared" si="16"/>
        <v>0.27987256178989783</v>
      </c>
      <c r="K120" s="1131" t="s">
        <v>1449</v>
      </c>
      <c r="L120" s="224"/>
      <c r="M120" s="107"/>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row>
    <row r="121" spans="1:196" s="104" customFormat="1" ht="41.4" hidden="1" outlineLevel="1" x14ac:dyDescent="0.25">
      <c r="A121" s="810" t="s">
        <v>783</v>
      </c>
      <c r="B121" s="810" t="s">
        <v>554</v>
      </c>
      <c r="C121" s="923"/>
      <c r="D121" s="923"/>
      <c r="E121" s="214"/>
      <c r="F121" s="215" t="s">
        <v>198</v>
      </c>
      <c r="G121" s="296">
        <v>29316</v>
      </c>
      <c r="H121" s="304">
        <v>33335</v>
      </c>
      <c r="I121" s="153">
        <f t="shared" ref="I121:I123" si="17">H121-G121</f>
        <v>4019</v>
      </c>
      <c r="J121" s="878">
        <f t="shared" si="16"/>
        <v>0.1370923727657252</v>
      </c>
      <c r="K121" s="1131" t="s">
        <v>1639</v>
      </c>
      <c r="L121" s="224"/>
      <c r="M121" s="107"/>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row>
    <row r="122" spans="1:196" s="104" customFormat="1" ht="13.8" hidden="1" outlineLevel="1" x14ac:dyDescent="0.25">
      <c r="A122" s="810" t="s">
        <v>783</v>
      </c>
      <c r="B122" s="810" t="s">
        <v>556</v>
      </c>
      <c r="C122" s="923"/>
      <c r="D122" s="923"/>
      <c r="E122" s="159"/>
      <c r="F122" s="160" t="s">
        <v>197</v>
      </c>
      <c r="G122" s="296">
        <v>2700</v>
      </c>
      <c r="H122" s="304">
        <v>4500</v>
      </c>
      <c r="I122" s="153">
        <f t="shared" si="17"/>
        <v>1800</v>
      </c>
      <c r="J122" s="878">
        <f t="shared" si="16"/>
        <v>0.66666666666666663</v>
      </c>
      <c r="K122" s="428"/>
      <c r="L122" s="224"/>
      <c r="M122" s="107"/>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row>
    <row r="123" spans="1:196" s="216" customFormat="1" ht="13.8" hidden="1" outlineLevel="1" x14ac:dyDescent="0.25">
      <c r="A123" s="810" t="s">
        <v>783</v>
      </c>
      <c r="B123" s="810" t="s">
        <v>555</v>
      </c>
      <c r="C123" s="923"/>
      <c r="D123" s="923"/>
      <c r="E123" s="162"/>
      <c r="F123" s="163" t="s">
        <v>555</v>
      </c>
      <c r="G123" s="296">
        <v>0</v>
      </c>
      <c r="H123" s="304">
        <v>78000</v>
      </c>
      <c r="I123" s="153">
        <f t="shared" si="17"/>
        <v>78000</v>
      </c>
      <c r="J123" s="879" t="str">
        <f t="shared" si="16"/>
        <v>-</v>
      </c>
      <c r="K123" s="420"/>
      <c r="L123" s="224"/>
      <c r="M123" s="1120"/>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223"/>
      <c r="BU123" s="223"/>
      <c r="BV123" s="223"/>
      <c r="BW123" s="223"/>
      <c r="BX123" s="223"/>
      <c r="BY123" s="223"/>
      <c r="BZ123" s="223"/>
      <c r="CA123" s="223"/>
      <c r="CB123" s="223"/>
      <c r="CC123" s="223"/>
      <c r="CD123" s="223"/>
      <c r="CE123" s="223"/>
      <c r="CF123" s="223"/>
      <c r="CG123" s="223"/>
      <c r="CH123" s="223"/>
      <c r="CI123" s="223"/>
      <c r="CJ123" s="223"/>
      <c r="CK123" s="223"/>
      <c r="CL123" s="223"/>
      <c r="CM123" s="223"/>
      <c r="CN123" s="223"/>
      <c r="CO123" s="223"/>
      <c r="CP123" s="223"/>
      <c r="CQ123" s="223"/>
      <c r="CR123" s="223"/>
      <c r="CS123" s="223"/>
      <c r="CT123" s="223"/>
      <c r="CU123" s="223"/>
      <c r="CV123" s="223"/>
      <c r="CW123" s="223"/>
      <c r="CX123" s="223"/>
      <c r="CY123" s="223"/>
      <c r="CZ123" s="223"/>
      <c r="DA123" s="223"/>
      <c r="DB123" s="223"/>
      <c r="DC123" s="223"/>
      <c r="DD123" s="223"/>
      <c r="DE123" s="223"/>
      <c r="DF123" s="223"/>
      <c r="DG123" s="223"/>
      <c r="DH123" s="223"/>
      <c r="DI123" s="223"/>
      <c r="DJ123" s="223"/>
      <c r="DK123" s="223"/>
      <c r="DL123" s="223"/>
      <c r="DM123" s="223"/>
      <c r="DN123" s="223"/>
      <c r="DO123" s="223"/>
      <c r="DP123" s="223"/>
      <c r="DQ123" s="223"/>
      <c r="DR123" s="223"/>
      <c r="DS123" s="223"/>
      <c r="DT123" s="223"/>
      <c r="DU123" s="223"/>
      <c r="DV123" s="223"/>
      <c r="DW123" s="223"/>
      <c r="DX123" s="223"/>
      <c r="DY123" s="223"/>
      <c r="DZ123" s="223"/>
      <c r="EA123" s="223"/>
      <c r="EB123" s="223"/>
      <c r="EC123" s="223"/>
      <c r="ED123" s="223"/>
      <c r="EE123" s="223"/>
      <c r="EF123" s="223"/>
      <c r="EG123" s="223"/>
      <c r="EH123" s="223"/>
      <c r="EI123" s="223"/>
      <c r="EJ123" s="223"/>
      <c r="EK123" s="223"/>
      <c r="EL123" s="223"/>
      <c r="EM123" s="223"/>
      <c r="EN123" s="223"/>
      <c r="EO123" s="223"/>
      <c r="EP123" s="223"/>
      <c r="EQ123" s="223"/>
      <c r="ER123" s="223"/>
      <c r="ES123" s="223"/>
      <c r="ET123" s="223"/>
      <c r="EU123" s="223"/>
      <c r="EV123" s="223"/>
      <c r="EW123" s="223"/>
      <c r="EX123" s="223"/>
      <c r="EY123" s="223"/>
      <c r="EZ123" s="223"/>
      <c r="FA123" s="223"/>
      <c r="FB123" s="223"/>
      <c r="FC123" s="223"/>
      <c r="FD123" s="223"/>
      <c r="FE123" s="223"/>
      <c r="FF123" s="223"/>
      <c r="FG123" s="223"/>
      <c r="FH123" s="223"/>
      <c r="FI123" s="223"/>
      <c r="FJ123" s="223"/>
      <c r="FK123" s="223"/>
      <c r="FL123" s="223"/>
      <c r="FM123" s="223"/>
      <c r="FN123" s="223"/>
      <c r="FO123" s="223"/>
      <c r="FP123" s="223"/>
      <c r="FQ123" s="223"/>
      <c r="FR123" s="223"/>
      <c r="FS123" s="223"/>
      <c r="FT123" s="223"/>
      <c r="FU123" s="223"/>
      <c r="FV123" s="223"/>
      <c r="FW123" s="223"/>
      <c r="FX123" s="223"/>
      <c r="FY123" s="223"/>
      <c r="FZ123" s="223"/>
      <c r="GA123" s="223"/>
      <c r="GB123" s="223"/>
      <c r="GC123" s="223"/>
      <c r="GD123" s="223"/>
      <c r="GE123" s="223"/>
      <c r="GF123" s="223"/>
      <c r="GG123" s="223"/>
      <c r="GH123" s="223"/>
      <c r="GI123" s="223"/>
      <c r="GJ123" s="223"/>
      <c r="GK123" s="223"/>
      <c r="GL123" s="223"/>
      <c r="GM123" s="223"/>
      <c r="GN123" s="223"/>
    </row>
    <row r="124" spans="1:196" ht="13.8" collapsed="1" x14ac:dyDescent="0.25">
      <c r="E124" s="141" t="s">
        <v>1175</v>
      </c>
      <c r="F124" s="145" t="s">
        <v>1537</v>
      </c>
      <c r="G124" s="300">
        <v>143939.43753166666</v>
      </c>
      <c r="H124" s="311">
        <v>160572.14087500004</v>
      </c>
      <c r="I124" s="146">
        <f t="shared" ref="I124:I128" si="18">H124-G124</f>
        <v>16632.703343333385</v>
      </c>
      <c r="J124" s="882">
        <f t="shared" si="16"/>
        <v>0.11555348296865613</v>
      </c>
      <c r="K124" s="427"/>
      <c r="L124" s="224"/>
    </row>
    <row r="125" spans="1:196" s="104" customFormat="1" ht="15" hidden="1" customHeight="1" outlineLevel="1" x14ac:dyDescent="0.25">
      <c r="A125" s="810" t="s">
        <v>761</v>
      </c>
      <c r="B125" s="810" t="s">
        <v>228</v>
      </c>
      <c r="C125" s="923"/>
      <c r="D125" s="923"/>
      <c r="E125" s="159"/>
      <c r="F125" s="160" t="s">
        <v>228</v>
      </c>
      <c r="G125" s="296">
        <v>105225.770865</v>
      </c>
      <c r="H125" s="304">
        <v>115308.14087500003</v>
      </c>
      <c r="I125" s="153">
        <f t="shared" si="18"/>
        <v>10082.370010000028</v>
      </c>
      <c r="J125" s="878">
        <f t="shared" si="16"/>
        <v>9.5816546907841249E-2</v>
      </c>
      <c r="K125" s="1132"/>
      <c r="L125" s="224"/>
      <c r="M125" s="107"/>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row>
    <row r="126" spans="1:196" s="104" customFormat="1" ht="13.8" hidden="1" outlineLevel="1" x14ac:dyDescent="0.25">
      <c r="A126" s="810" t="s">
        <v>761</v>
      </c>
      <c r="B126" s="810" t="s">
        <v>554</v>
      </c>
      <c r="C126" s="923"/>
      <c r="D126" s="923"/>
      <c r="E126" s="214"/>
      <c r="F126" s="215" t="s">
        <v>198</v>
      </c>
      <c r="G126" s="296">
        <v>38713.666666666664</v>
      </c>
      <c r="H126" s="304">
        <v>45264</v>
      </c>
      <c r="I126" s="153">
        <f t="shared" si="18"/>
        <v>6550.3333333333358</v>
      </c>
      <c r="J126" s="878">
        <f t="shared" si="16"/>
        <v>0.16919950749519988</v>
      </c>
      <c r="K126" s="1131" t="s">
        <v>1450</v>
      </c>
      <c r="L126" s="224"/>
      <c r="M126" s="107"/>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row>
    <row r="127" spans="1:196" s="104" customFormat="1" ht="13.8" hidden="1" outlineLevel="1" x14ac:dyDescent="0.25">
      <c r="A127" s="810" t="s">
        <v>761</v>
      </c>
      <c r="B127" s="810" t="s">
        <v>556</v>
      </c>
      <c r="C127" s="923"/>
      <c r="D127" s="923"/>
      <c r="E127" s="159"/>
      <c r="F127" s="160" t="s">
        <v>197</v>
      </c>
      <c r="G127" s="296">
        <v>0</v>
      </c>
      <c r="H127" s="304">
        <v>0</v>
      </c>
      <c r="I127" s="153">
        <f t="shared" si="18"/>
        <v>0</v>
      </c>
      <c r="J127" s="878" t="str">
        <f t="shared" si="16"/>
        <v>-</v>
      </c>
      <c r="K127" s="428"/>
      <c r="L127" s="224"/>
      <c r="M127" s="10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row>
    <row r="128" spans="1:196" s="525" customFormat="1" ht="13.8" hidden="1" outlineLevel="1" x14ac:dyDescent="0.25">
      <c r="A128" s="1101" t="s">
        <v>761</v>
      </c>
      <c r="B128" s="1101" t="s">
        <v>555</v>
      </c>
      <c r="C128" s="1102"/>
      <c r="D128" s="1102"/>
      <c r="E128" s="523"/>
      <c r="F128" s="520" t="s">
        <v>555</v>
      </c>
      <c r="G128" s="504">
        <v>39565</v>
      </c>
      <c r="H128" s="504">
        <v>0</v>
      </c>
      <c r="I128" s="510">
        <f t="shared" si="18"/>
        <v>-39565</v>
      </c>
      <c r="J128" s="876">
        <f t="shared" si="16"/>
        <v>-1</v>
      </c>
      <c r="K128" s="526"/>
      <c r="L128" s="507"/>
      <c r="M128" s="1122"/>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515"/>
      <c r="AK128" s="515"/>
      <c r="AL128" s="515"/>
      <c r="AM128" s="515"/>
      <c r="AN128" s="515"/>
      <c r="AO128" s="515"/>
      <c r="AP128" s="515"/>
      <c r="AQ128" s="515"/>
      <c r="AR128" s="515"/>
      <c r="AS128" s="515"/>
      <c r="AT128" s="515"/>
      <c r="AU128" s="515"/>
      <c r="AV128" s="515"/>
      <c r="AW128" s="515"/>
      <c r="AX128" s="515"/>
      <c r="AY128" s="515"/>
      <c r="AZ128" s="515"/>
      <c r="BA128" s="515"/>
      <c r="BB128" s="515"/>
      <c r="BC128" s="515"/>
      <c r="BD128" s="515"/>
      <c r="BE128" s="515"/>
      <c r="BF128" s="515"/>
      <c r="BG128" s="515"/>
      <c r="BH128" s="515"/>
      <c r="BI128" s="515"/>
      <c r="BJ128" s="515"/>
      <c r="BK128" s="515"/>
      <c r="BL128" s="515"/>
      <c r="BM128" s="515"/>
      <c r="BN128" s="515"/>
      <c r="BO128" s="515"/>
      <c r="BP128" s="515"/>
      <c r="BQ128" s="515"/>
      <c r="BR128" s="515"/>
      <c r="BS128" s="515"/>
      <c r="BT128" s="515"/>
      <c r="BU128" s="515"/>
      <c r="BV128" s="515"/>
      <c r="BW128" s="515"/>
      <c r="BX128" s="515"/>
      <c r="BY128" s="515"/>
      <c r="BZ128" s="515"/>
      <c r="CA128" s="515"/>
      <c r="CB128" s="515"/>
      <c r="CC128" s="515"/>
      <c r="CD128" s="515"/>
      <c r="CE128" s="515"/>
      <c r="CF128" s="515"/>
      <c r="CG128" s="515"/>
      <c r="CH128" s="515"/>
      <c r="CI128" s="515"/>
      <c r="CJ128" s="515"/>
      <c r="CK128" s="515"/>
      <c r="CL128" s="515"/>
      <c r="CM128" s="515"/>
      <c r="CN128" s="515"/>
      <c r="CO128" s="515"/>
      <c r="CP128" s="515"/>
      <c r="CQ128" s="515"/>
      <c r="CR128" s="515"/>
      <c r="CS128" s="515"/>
      <c r="CT128" s="515"/>
      <c r="CU128" s="515"/>
      <c r="CV128" s="515"/>
      <c r="CW128" s="515"/>
      <c r="CX128" s="515"/>
      <c r="CY128" s="515"/>
      <c r="CZ128" s="515"/>
      <c r="DA128" s="515"/>
      <c r="DB128" s="515"/>
      <c r="DC128" s="515"/>
      <c r="DD128" s="515"/>
      <c r="DE128" s="515"/>
      <c r="DF128" s="515"/>
      <c r="DG128" s="515"/>
      <c r="DH128" s="515"/>
      <c r="DI128" s="515"/>
      <c r="DJ128" s="515"/>
      <c r="DK128" s="515"/>
      <c r="DL128" s="515"/>
      <c r="DM128" s="515"/>
      <c r="DN128" s="515"/>
      <c r="DO128" s="515"/>
      <c r="DP128" s="515"/>
      <c r="DQ128" s="515"/>
      <c r="DR128" s="515"/>
      <c r="DS128" s="515"/>
      <c r="DT128" s="515"/>
      <c r="DU128" s="515"/>
      <c r="DV128" s="515"/>
      <c r="DW128" s="515"/>
      <c r="DX128" s="515"/>
      <c r="DY128" s="515"/>
      <c r="DZ128" s="515"/>
      <c r="EA128" s="515"/>
      <c r="EB128" s="515"/>
      <c r="EC128" s="515"/>
      <c r="ED128" s="515"/>
      <c r="EE128" s="515"/>
      <c r="EF128" s="515"/>
      <c r="EG128" s="515"/>
      <c r="EH128" s="515"/>
      <c r="EI128" s="515"/>
      <c r="EJ128" s="515"/>
      <c r="EK128" s="515"/>
      <c r="EL128" s="515"/>
      <c r="EM128" s="515"/>
      <c r="EN128" s="515"/>
      <c r="EO128" s="515"/>
      <c r="EP128" s="515"/>
      <c r="EQ128" s="515"/>
      <c r="ER128" s="515"/>
      <c r="ES128" s="515"/>
      <c r="ET128" s="515"/>
      <c r="EU128" s="515"/>
      <c r="EV128" s="515"/>
      <c r="EW128" s="515"/>
      <c r="EX128" s="515"/>
      <c r="EY128" s="515"/>
      <c r="EZ128" s="515"/>
      <c r="FA128" s="515"/>
      <c r="FB128" s="515"/>
      <c r="FC128" s="515"/>
      <c r="FD128" s="515"/>
      <c r="FE128" s="515"/>
      <c r="FF128" s="515"/>
      <c r="FG128" s="515"/>
      <c r="FH128" s="515"/>
      <c r="FI128" s="515"/>
      <c r="FJ128" s="515"/>
      <c r="FK128" s="515"/>
      <c r="FL128" s="515"/>
      <c r="FM128" s="515"/>
      <c r="FN128" s="515"/>
      <c r="FO128" s="515"/>
      <c r="FP128" s="515"/>
      <c r="FQ128" s="515"/>
      <c r="FR128" s="515"/>
      <c r="FS128" s="515"/>
      <c r="FT128" s="515"/>
      <c r="FU128" s="515"/>
      <c r="FV128" s="515"/>
      <c r="FW128" s="515"/>
      <c r="FX128" s="515"/>
      <c r="FY128" s="515"/>
      <c r="FZ128" s="515"/>
      <c r="GA128" s="515"/>
      <c r="GB128" s="515"/>
      <c r="GC128" s="515"/>
      <c r="GD128" s="515"/>
      <c r="GE128" s="515"/>
      <c r="GF128" s="515"/>
      <c r="GG128" s="515"/>
      <c r="GH128" s="515"/>
      <c r="GI128" s="515"/>
      <c r="GJ128" s="515"/>
      <c r="GK128" s="515"/>
      <c r="GL128" s="515"/>
      <c r="GM128" s="515"/>
      <c r="GN128" s="515"/>
    </row>
    <row r="129" spans="1:196" ht="15.6" collapsed="1" x14ac:dyDescent="0.3">
      <c r="A129" s="1050"/>
      <c r="E129" s="141" t="s">
        <v>1176</v>
      </c>
      <c r="F129" s="145" t="s">
        <v>1347</v>
      </c>
      <c r="G129" s="300">
        <v>100406.36</v>
      </c>
      <c r="H129" s="311">
        <v>143924.66029999999</v>
      </c>
      <c r="I129" s="146">
        <f>H129-G129</f>
        <v>43518.300299999988</v>
      </c>
      <c r="J129" s="882">
        <f t="shared" si="16"/>
        <v>0.43342175037517533</v>
      </c>
      <c r="K129" s="427"/>
      <c r="L129" s="224"/>
    </row>
    <row r="130" spans="1:196" s="104" customFormat="1" ht="13.8" hidden="1" outlineLevel="1" x14ac:dyDescent="0.25">
      <c r="A130" s="810" t="s">
        <v>787</v>
      </c>
      <c r="B130" s="810" t="s">
        <v>554</v>
      </c>
      <c r="C130" s="923"/>
      <c r="D130" s="923"/>
      <c r="E130" s="214"/>
      <c r="F130" s="215" t="s">
        <v>198</v>
      </c>
      <c r="G130" s="296">
        <v>29968</v>
      </c>
      <c r="H130" s="304">
        <v>53306.637600000002</v>
      </c>
      <c r="I130" s="153">
        <f>H130-G130</f>
        <v>23338.637600000002</v>
      </c>
      <c r="J130" s="878">
        <f t="shared" si="16"/>
        <v>0.77878529097704219</v>
      </c>
      <c r="K130" s="421" t="s">
        <v>1640</v>
      </c>
      <c r="L130" s="224"/>
      <c r="M130" s="107"/>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row>
    <row r="131" spans="1:196" s="104" customFormat="1" ht="13.8" hidden="1" outlineLevel="1" x14ac:dyDescent="0.25">
      <c r="A131" s="810" t="s">
        <v>743</v>
      </c>
      <c r="B131" s="810" t="s">
        <v>554</v>
      </c>
      <c r="C131" s="923"/>
      <c r="D131" s="923"/>
      <c r="E131" s="159"/>
      <c r="F131" s="215" t="s">
        <v>198</v>
      </c>
      <c r="G131" s="296">
        <v>70438.36</v>
      </c>
      <c r="H131" s="304">
        <v>90618.022700000001</v>
      </c>
      <c r="I131" s="153">
        <f>H131-G131</f>
        <v>20179.662700000001</v>
      </c>
      <c r="J131" s="878">
        <f t="shared" si="16"/>
        <v>0.28648683331071312</v>
      </c>
      <c r="K131" s="436" t="s">
        <v>1641</v>
      </c>
      <c r="L131" s="224"/>
      <c r="M131" s="107"/>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row>
    <row r="132" spans="1:196" ht="31.5" customHeight="1" collapsed="1" x14ac:dyDescent="0.25">
      <c r="E132" s="141" t="s">
        <v>1177</v>
      </c>
      <c r="F132" s="145" t="s">
        <v>622</v>
      </c>
      <c r="G132" s="300">
        <v>3510598.6399999997</v>
      </c>
      <c r="H132" s="311">
        <v>4373889.3361329995</v>
      </c>
      <c r="I132" s="146">
        <f t="shared" si="15"/>
        <v>863290.69613299984</v>
      </c>
      <c r="J132" s="882">
        <f t="shared" si="16"/>
        <v>0.2459098246938875</v>
      </c>
      <c r="K132" s="427"/>
      <c r="L132" s="224"/>
    </row>
    <row r="133" spans="1:196" s="104" customFormat="1" ht="13.8" hidden="1" outlineLevel="1" x14ac:dyDescent="0.25">
      <c r="A133" s="810" t="s">
        <v>383</v>
      </c>
      <c r="B133" s="810" t="s">
        <v>228</v>
      </c>
      <c r="C133" s="923"/>
      <c r="D133" s="923"/>
      <c r="E133" s="159"/>
      <c r="F133" s="160" t="s">
        <v>228</v>
      </c>
      <c r="G133" s="304">
        <v>1661693</v>
      </c>
      <c r="H133" s="304">
        <v>2055591.4861329999</v>
      </c>
      <c r="I133" s="153">
        <f t="shared" si="15"/>
        <v>393898.48613299988</v>
      </c>
      <c r="J133" s="878">
        <f t="shared" si="16"/>
        <v>0.23704648580273244</v>
      </c>
      <c r="K133" s="419" t="s">
        <v>1456</v>
      </c>
      <c r="L133" s="224"/>
      <c r="M133" s="107"/>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row>
    <row r="134" spans="1:196" s="104" customFormat="1" ht="96.6" hidden="1" outlineLevel="1" x14ac:dyDescent="0.25">
      <c r="A134" s="810" t="s">
        <v>383</v>
      </c>
      <c r="B134" s="810" t="s">
        <v>554</v>
      </c>
      <c r="C134" s="923"/>
      <c r="D134" s="923"/>
      <c r="E134" s="214"/>
      <c r="F134" s="215" t="s">
        <v>198</v>
      </c>
      <c r="G134" s="304">
        <v>1803282.64</v>
      </c>
      <c r="H134" s="304">
        <v>2271802.85</v>
      </c>
      <c r="I134" s="153">
        <f>H134-G134</f>
        <v>468520.2100000002</v>
      </c>
      <c r="J134" s="878">
        <f t="shared" si="16"/>
        <v>0.25981518349225624</v>
      </c>
      <c r="K134" s="421" t="s">
        <v>1642</v>
      </c>
      <c r="L134" s="224"/>
      <c r="M134" s="107"/>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row>
    <row r="135" spans="1:196" s="104" customFormat="1" ht="13.8" hidden="1" outlineLevel="1" x14ac:dyDescent="0.25">
      <c r="A135" s="810" t="s">
        <v>383</v>
      </c>
      <c r="B135" s="810" t="s">
        <v>556</v>
      </c>
      <c r="C135" s="923"/>
      <c r="D135" s="923"/>
      <c r="E135" s="159"/>
      <c r="F135" s="160" t="s">
        <v>197</v>
      </c>
      <c r="G135" s="296">
        <v>45623</v>
      </c>
      <c r="H135" s="304">
        <v>46495</v>
      </c>
      <c r="I135" s="153">
        <f t="shared" si="15"/>
        <v>872</v>
      </c>
      <c r="J135" s="878">
        <f t="shared" si="16"/>
        <v>1.9113166604563487E-2</v>
      </c>
      <c r="K135" s="430"/>
      <c r="L135" s="224"/>
      <c r="M135" s="107"/>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row>
    <row r="136" spans="1:196" s="525" customFormat="1" ht="13.8" hidden="1" outlineLevel="1" x14ac:dyDescent="0.25">
      <c r="A136" s="1415" t="s">
        <v>383</v>
      </c>
      <c r="B136" s="1415" t="s">
        <v>555</v>
      </c>
      <c r="C136" s="1416"/>
      <c r="D136" s="1416"/>
      <c r="E136" s="523"/>
      <c r="F136" s="520" t="s">
        <v>555</v>
      </c>
      <c r="G136" s="505">
        <v>132925</v>
      </c>
      <c r="H136" s="505">
        <v>93851</v>
      </c>
      <c r="I136" s="510">
        <f t="shared" si="15"/>
        <v>-39074</v>
      </c>
      <c r="J136" s="876">
        <f t="shared" si="16"/>
        <v>-0.29395523791611811</v>
      </c>
      <c r="K136" s="526"/>
      <c r="L136" s="1417"/>
      <c r="M136" s="1122"/>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5"/>
      <c r="AM136" s="515"/>
      <c r="AN136" s="515"/>
      <c r="AO136" s="515"/>
      <c r="AP136" s="515"/>
      <c r="AQ136" s="515"/>
      <c r="AR136" s="515"/>
      <c r="AS136" s="515"/>
      <c r="AT136" s="515"/>
      <c r="AU136" s="515"/>
      <c r="AV136" s="515"/>
      <c r="AW136" s="515"/>
      <c r="AX136" s="515"/>
      <c r="AY136" s="515"/>
      <c r="AZ136" s="515"/>
      <c r="BA136" s="515"/>
      <c r="BB136" s="515"/>
      <c r="BC136" s="515"/>
      <c r="BD136" s="515"/>
      <c r="BE136" s="515"/>
      <c r="BF136" s="515"/>
      <c r="BG136" s="515"/>
      <c r="BH136" s="515"/>
      <c r="BI136" s="515"/>
      <c r="BJ136" s="515"/>
      <c r="BK136" s="515"/>
      <c r="BL136" s="515"/>
      <c r="BM136" s="515"/>
      <c r="BN136" s="515"/>
      <c r="BO136" s="515"/>
      <c r="BP136" s="515"/>
      <c r="BQ136" s="515"/>
      <c r="BR136" s="515"/>
      <c r="BS136" s="515"/>
      <c r="BT136" s="515"/>
      <c r="BU136" s="515"/>
      <c r="BV136" s="515"/>
      <c r="BW136" s="515"/>
      <c r="BX136" s="515"/>
      <c r="BY136" s="515"/>
      <c r="BZ136" s="515"/>
      <c r="CA136" s="515"/>
      <c r="CB136" s="515"/>
      <c r="CC136" s="515"/>
      <c r="CD136" s="515"/>
      <c r="CE136" s="515"/>
      <c r="CF136" s="515"/>
      <c r="CG136" s="515"/>
      <c r="CH136" s="515"/>
      <c r="CI136" s="515"/>
      <c r="CJ136" s="515"/>
      <c r="CK136" s="515"/>
      <c r="CL136" s="515"/>
      <c r="CM136" s="515"/>
      <c r="CN136" s="515"/>
      <c r="CO136" s="515"/>
      <c r="CP136" s="515"/>
      <c r="CQ136" s="515"/>
      <c r="CR136" s="515"/>
      <c r="CS136" s="515"/>
      <c r="CT136" s="515"/>
      <c r="CU136" s="515"/>
      <c r="CV136" s="515"/>
      <c r="CW136" s="515"/>
      <c r="CX136" s="515"/>
      <c r="CY136" s="515"/>
      <c r="CZ136" s="515"/>
      <c r="DA136" s="515"/>
      <c r="DB136" s="515"/>
      <c r="DC136" s="515"/>
      <c r="DD136" s="515"/>
      <c r="DE136" s="515"/>
      <c r="DF136" s="515"/>
      <c r="DG136" s="515"/>
      <c r="DH136" s="515"/>
      <c r="DI136" s="515"/>
      <c r="DJ136" s="515"/>
      <c r="DK136" s="515"/>
      <c r="DL136" s="515"/>
      <c r="DM136" s="515"/>
      <c r="DN136" s="515"/>
      <c r="DO136" s="515"/>
      <c r="DP136" s="515"/>
      <c r="DQ136" s="515"/>
      <c r="DR136" s="515"/>
      <c r="DS136" s="515"/>
      <c r="DT136" s="515"/>
      <c r="DU136" s="515"/>
      <c r="DV136" s="515"/>
      <c r="DW136" s="515"/>
      <c r="DX136" s="515"/>
      <c r="DY136" s="515"/>
      <c r="DZ136" s="515"/>
      <c r="EA136" s="515"/>
      <c r="EB136" s="515"/>
      <c r="EC136" s="515"/>
      <c r="ED136" s="515"/>
      <c r="EE136" s="515"/>
      <c r="EF136" s="515"/>
      <c r="EG136" s="515"/>
      <c r="EH136" s="515"/>
      <c r="EI136" s="515"/>
      <c r="EJ136" s="515"/>
      <c r="EK136" s="515"/>
      <c r="EL136" s="515"/>
      <c r="EM136" s="515"/>
      <c r="EN136" s="515"/>
      <c r="EO136" s="515"/>
      <c r="EP136" s="515"/>
      <c r="EQ136" s="515"/>
      <c r="ER136" s="515"/>
      <c r="ES136" s="515"/>
      <c r="ET136" s="515"/>
      <c r="EU136" s="515"/>
      <c r="EV136" s="515"/>
      <c r="EW136" s="515"/>
      <c r="EX136" s="515"/>
      <c r="EY136" s="515"/>
      <c r="EZ136" s="515"/>
      <c r="FA136" s="515"/>
      <c r="FB136" s="515"/>
      <c r="FC136" s="515"/>
      <c r="FD136" s="515"/>
      <c r="FE136" s="515"/>
      <c r="FF136" s="515"/>
      <c r="FG136" s="515"/>
      <c r="FH136" s="515"/>
      <c r="FI136" s="515"/>
      <c r="FJ136" s="515"/>
      <c r="FK136" s="515"/>
      <c r="FL136" s="515"/>
      <c r="FM136" s="515"/>
      <c r="FN136" s="515"/>
      <c r="FO136" s="515"/>
      <c r="FP136" s="515"/>
      <c r="FQ136" s="515"/>
      <c r="FR136" s="515"/>
      <c r="FS136" s="515"/>
      <c r="FT136" s="515"/>
      <c r="FU136" s="515"/>
      <c r="FV136" s="515"/>
      <c r="FW136" s="515"/>
      <c r="FX136" s="515"/>
      <c r="FY136" s="515"/>
      <c r="FZ136" s="515"/>
      <c r="GA136" s="515"/>
      <c r="GB136" s="515"/>
      <c r="GC136" s="515"/>
      <c r="GD136" s="515"/>
      <c r="GE136" s="515"/>
      <c r="GF136" s="515"/>
      <c r="GG136" s="515"/>
      <c r="GH136" s="515"/>
      <c r="GI136" s="515"/>
      <c r="GJ136" s="515"/>
      <c r="GK136" s="515"/>
      <c r="GL136" s="515"/>
      <c r="GM136" s="515"/>
      <c r="GN136" s="515"/>
    </row>
    <row r="137" spans="1:196" ht="27.6" collapsed="1" x14ac:dyDescent="0.25">
      <c r="E137" s="141" t="s">
        <v>1178</v>
      </c>
      <c r="F137" s="145" t="s">
        <v>668</v>
      </c>
      <c r="G137" s="300">
        <v>1300416</v>
      </c>
      <c r="H137" s="311">
        <v>3779449</v>
      </c>
      <c r="I137" s="146">
        <f t="shared" ref="I137:I142" si="19">H137-G137</f>
        <v>2479033</v>
      </c>
      <c r="J137" s="882">
        <f t="shared" si="16"/>
        <v>1.9063384332398248</v>
      </c>
      <c r="K137" s="427"/>
      <c r="L137" s="224"/>
    </row>
    <row r="138" spans="1:196" s="104" customFormat="1" ht="13.8" hidden="1" outlineLevel="1" x14ac:dyDescent="0.25">
      <c r="A138" s="810" t="s">
        <v>1358</v>
      </c>
      <c r="B138" s="810" t="s">
        <v>228</v>
      </c>
      <c r="C138" s="923"/>
      <c r="D138" s="923"/>
      <c r="E138" s="159"/>
      <c r="F138" s="160" t="s">
        <v>228</v>
      </c>
      <c r="G138" s="296">
        <v>237083</v>
      </c>
      <c r="H138" s="304">
        <v>269010</v>
      </c>
      <c r="I138" s="161">
        <f t="shared" si="19"/>
        <v>31927</v>
      </c>
      <c r="J138" s="884">
        <f t="shared" si="16"/>
        <v>0.13466591868670466</v>
      </c>
      <c r="K138" s="430"/>
      <c r="L138" s="224"/>
      <c r="M138" s="107"/>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row>
    <row r="139" spans="1:196" s="104" customFormat="1" ht="13.8" hidden="1" outlineLevel="1" x14ac:dyDescent="0.25">
      <c r="A139" s="810" t="s">
        <v>1358</v>
      </c>
      <c r="B139" s="810" t="s">
        <v>554</v>
      </c>
      <c r="C139" s="923"/>
      <c r="D139" s="923"/>
      <c r="E139" s="214"/>
      <c r="F139" s="215" t="s">
        <v>198</v>
      </c>
      <c r="G139" s="296">
        <v>1063333</v>
      </c>
      <c r="H139" s="304">
        <v>3482439</v>
      </c>
      <c r="I139" s="153">
        <f t="shared" si="19"/>
        <v>2419106</v>
      </c>
      <c r="J139" s="878">
        <f t="shared" si="16"/>
        <v>2.2750220297874701</v>
      </c>
      <c r="K139" s="305"/>
      <c r="L139" s="224"/>
      <c r="M139" s="107"/>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row>
    <row r="140" spans="1:196" s="104" customFormat="1" ht="13.8" hidden="1" outlineLevel="1" x14ac:dyDescent="0.25">
      <c r="A140" s="810" t="s">
        <v>1358</v>
      </c>
      <c r="B140" s="810" t="s">
        <v>556</v>
      </c>
      <c r="C140" s="923"/>
      <c r="D140" s="923"/>
      <c r="E140" s="159"/>
      <c r="F140" s="160" t="s">
        <v>197</v>
      </c>
      <c r="G140" s="296">
        <v>0</v>
      </c>
      <c r="H140" s="304">
        <v>28000</v>
      </c>
      <c r="I140" s="161">
        <f t="shared" si="19"/>
        <v>28000</v>
      </c>
      <c r="J140" s="884" t="str">
        <f t="shared" si="16"/>
        <v>-</v>
      </c>
      <c r="K140" s="430"/>
      <c r="L140" s="224"/>
      <c r="M140" s="107"/>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row>
    <row r="141" spans="1:196" ht="15" customHeight="1" collapsed="1" x14ac:dyDescent="0.25">
      <c r="E141" s="141" t="s">
        <v>1643</v>
      </c>
      <c r="F141" s="145" t="s">
        <v>334</v>
      </c>
      <c r="G141" s="300"/>
      <c r="H141" s="928"/>
      <c r="I141" s="146">
        <f t="shared" si="19"/>
        <v>0</v>
      </c>
      <c r="J141" s="882" t="str">
        <f t="shared" si="16"/>
        <v>-</v>
      </c>
      <c r="K141" s="415" t="s">
        <v>623</v>
      </c>
      <c r="L141" s="224"/>
    </row>
    <row r="142" spans="1:196" s="104" customFormat="1" ht="13.8" hidden="1" outlineLevel="1" x14ac:dyDescent="0.25">
      <c r="A142" s="858"/>
      <c r="B142" s="858"/>
      <c r="C142" s="997"/>
      <c r="D142" s="997"/>
      <c r="E142" s="326"/>
      <c r="F142" s="327" t="s">
        <v>182</v>
      </c>
      <c r="G142" s="297"/>
      <c r="H142" s="929"/>
      <c r="I142" s="153">
        <f t="shared" si="19"/>
        <v>0</v>
      </c>
      <c r="J142" s="878" t="str">
        <f t="shared" si="16"/>
        <v>-</v>
      </c>
      <c r="K142" s="429"/>
      <c r="L142" s="224"/>
      <c r="M142" s="107"/>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row>
    <row r="143" spans="1:196" ht="27.6" customHeight="1" collapsed="1" x14ac:dyDescent="0.3">
      <c r="E143" s="141" t="s">
        <v>1644</v>
      </c>
      <c r="F143" s="145" t="s">
        <v>1359</v>
      </c>
      <c r="G143" s="300">
        <v>153541</v>
      </c>
      <c r="H143" s="311">
        <v>295000</v>
      </c>
      <c r="I143" s="146">
        <f t="shared" ref="I143" si="20">H143-G143</f>
        <v>141459</v>
      </c>
      <c r="J143" s="882">
        <f t="shared" ref="J143:J194" si="21">IFERROR(I143/G143,"-")</f>
        <v>0.92131092021023697</v>
      </c>
      <c r="K143" s="486"/>
      <c r="L143" s="224"/>
    </row>
    <row r="144" spans="1:196" s="104" customFormat="1" ht="27.6" hidden="1" outlineLevel="1" x14ac:dyDescent="0.25">
      <c r="A144" s="810" t="s">
        <v>1360</v>
      </c>
      <c r="B144" s="810" t="s">
        <v>554</v>
      </c>
      <c r="C144" s="923"/>
      <c r="D144" s="923"/>
      <c r="E144" s="326"/>
      <c r="F144" s="327" t="s">
        <v>185</v>
      </c>
      <c r="G144" s="296">
        <v>153541</v>
      </c>
      <c r="H144" s="304">
        <v>295000</v>
      </c>
      <c r="I144" s="153">
        <f t="shared" ref="I144:I149" si="22">H144-G144</f>
        <v>141459</v>
      </c>
      <c r="J144" s="878">
        <f t="shared" si="21"/>
        <v>0.92131092021023697</v>
      </c>
      <c r="K144" s="1146" t="s">
        <v>1457</v>
      </c>
      <c r="L144" s="224"/>
      <c r="M144" s="107"/>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row>
    <row r="145" spans="1:196" s="104" customFormat="1" ht="13.8" hidden="1" outlineLevel="1" x14ac:dyDescent="0.25">
      <c r="C145" s="923"/>
      <c r="D145" s="923"/>
      <c r="E145" s="214"/>
      <c r="F145" s="921" t="s">
        <v>182</v>
      </c>
      <c r="G145" s="328"/>
      <c r="H145" s="930"/>
      <c r="I145" s="153">
        <f t="shared" si="22"/>
        <v>0</v>
      </c>
      <c r="J145" s="878" t="str">
        <f t="shared" si="21"/>
        <v>-</v>
      </c>
      <c r="K145" s="429"/>
      <c r="L145" s="224"/>
      <c r="M145" s="107"/>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row>
    <row r="146" spans="1:196" ht="13.8" collapsed="1" x14ac:dyDescent="0.25">
      <c r="E146" s="143" t="s">
        <v>22</v>
      </c>
      <c r="F146" s="144" t="s">
        <v>88</v>
      </c>
      <c r="G146" s="127">
        <v>1431621.8249823998</v>
      </c>
      <c r="H146" s="126">
        <v>1659388.5297900001</v>
      </c>
      <c r="I146" s="126">
        <f t="shared" si="22"/>
        <v>227766.70480760024</v>
      </c>
      <c r="J146" s="864">
        <f t="shared" si="21"/>
        <v>0.15909697717160773</v>
      </c>
      <c r="K146" s="423"/>
      <c r="L146" s="224"/>
      <c r="M146" s="1124"/>
      <c r="N146" s="410"/>
      <c r="O146" s="410"/>
      <c r="P146" s="410"/>
    </row>
    <row r="147" spans="1:196" s="343" customFormat="1" ht="13.8" x14ac:dyDescent="0.25">
      <c r="A147" s="1412"/>
      <c r="B147" s="1412"/>
      <c r="C147" s="1407"/>
      <c r="D147" s="1407"/>
      <c r="E147" s="338"/>
      <c r="F147" s="339" t="s">
        <v>228</v>
      </c>
      <c r="G147" s="340">
        <v>1014752.2049824001</v>
      </c>
      <c r="H147" s="340">
        <v>1134561.1297899999</v>
      </c>
      <c r="I147" s="341">
        <f t="shared" si="22"/>
        <v>119808.92480759986</v>
      </c>
      <c r="J147" s="873">
        <f t="shared" si="21"/>
        <v>0.11806717366007383</v>
      </c>
      <c r="K147" s="424"/>
      <c r="L147" s="470"/>
      <c r="M147" s="1422"/>
      <c r="N147" s="347"/>
      <c r="O147" s="347"/>
      <c r="P147" s="347"/>
      <c r="Q147" s="924"/>
      <c r="R147" s="924"/>
      <c r="S147" s="924"/>
      <c r="T147" s="924"/>
      <c r="U147" s="924"/>
      <c r="V147" s="924"/>
      <c r="W147" s="924"/>
      <c r="X147" s="924"/>
      <c r="Y147" s="924"/>
      <c r="Z147" s="924"/>
      <c r="AA147" s="924"/>
      <c r="AB147" s="924"/>
      <c r="AC147" s="924"/>
      <c r="AD147" s="924"/>
      <c r="AE147" s="924"/>
      <c r="AF147" s="924"/>
      <c r="AG147" s="924"/>
      <c r="AH147" s="924"/>
      <c r="AI147" s="924"/>
      <c r="AJ147" s="924"/>
      <c r="AK147" s="924"/>
      <c r="AL147" s="924"/>
      <c r="AM147" s="924"/>
      <c r="AN147" s="924"/>
      <c r="AO147" s="924"/>
      <c r="AP147" s="924"/>
      <c r="AQ147" s="924"/>
      <c r="AR147" s="924"/>
      <c r="AS147" s="924"/>
      <c r="AT147" s="924"/>
      <c r="AU147" s="924"/>
      <c r="AV147" s="924"/>
      <c r="AW147" s="924"/>
      <c r="AX147" s="924"/>
      <c r="AY147" s="924"/>
      <c r="AZ147" s="924"/>
      <c r="BA147" s="924"/>
      <c r="BB147" s="924"/>
      <c r="BC147" s="924"/>
      <c r="BD147" s="924"/>
      <c r="BE147" s="924"/>
      <c r="BF147" s="924"/>
      <c r="BG147" s="924"/>
      <c r="BH147" s="924"/>
      <c r="BI147" s="924"/>
      <c r="BJ147" s="924"/>
      <c r="BK147" s="924"/>
      <c r="BL147" s="924"/>
      <c r="BM147" s="924"/>
      <c r="BN147" s="924"/>
      <c r="BO147" s="924"/>
      <c r="BP147" s="924"/>
      <c r="BQ147" s="924"/>
      <c r="BR147" s="924"/>
      <c r="BS147" s="924"/>
      <c r="BT147" s="924"/>
      <c r="BU147" s="924"/>
      <c r="BV147" s="924"/>
      <c r="BW147" s="924"/>
      <c r="BX147" s="924"/>
      <c r="BY147" s="924"/>
      <c r="BZ147" s="924"/>
      <c r="CA147" s="924"/>
      <c r="CB147" s="924"/>
      <c r="CC147" s="924"/>
      <c r="CD147" s="924"/>
      <c r="CE147" s="924"/>
      <c r="CF147" s="924"/>
      <c r="CG147" s="924"/>
      <c r="CH147" s="924"/>
      <c r="CI147" s="924"/>
      <c r="CJ147" s="924"/>
      <c r="CK147" s="924"/>
      <c r="CL147" s="924"/>
      <c r="CM147" s="924"/>
      <c r="CN147" s="924"/>
      <c r="CO147" s="924"/>
      <c r="CP147" s="924"/>
      <c r="CQ147" s="924"/>
      <c r="CR147" s="924"/>
      <c r="CS147" s="924"/>
      <c r="CT147" s="924"/>
      <c r="CU147" s="924"/>
      <c r="CV147" s="924"/>
      <c r="CW147" s="924"/>
      <c r="CX147" s="924"/>
      <c r="CY147" s="924"/>
      <c r="CZ147" s="924"/>
      <c r="DA147" s="924"/>
      <c r="DB147" s="924"/>
      <c r="DC147" s="924"/>
      <c r="DD147" s="924"/>
      <c r="DE147" s="924"/>
      <c r="DF147" s="924"/>
      <c r="DG147" s="924"/>
      <c r="DH147" s="924"/>
      <c r="DI147" s="924"/>
      <c r="DJ147" s="924"/>
      <c r="DK147" s="924"/>
      <c r="DL147" s="924"/>
      <c r="DM147" s="924"/>
      <c r="DN147" s="924"/>
      <c r="DO147" s="924"/>
      <c r="DP147" s="924"/>
      <c r="DQ147" s="924"/>
      <c r="DR147" s="924"/>
      <c r="DS147" s="924"/>
      <c r="DT147" s="924"/>
      <c r="DU147" s="924"/>
      <c r="DV147" s="924"/>
      <c r="DW147" s="924"/>
      <c r="DX147" s="924"/>
      <c r="DY147" s="924"/>
      <c r="DZ147" s="924"/>
      <c r="EA147" s="924"/>
      <c r="EB147" s="924"/>
      <c r="EC147" s="924"/>
      <c r="ED147" s="924"/>
      <c r="EE147" s="924"/>
      <c r="EF147" s="924"/>
      <c r="EG147" s="924"/>
      <c r="EH147" s="924"/>
      <c r="EI147" s="924"/>
      <c r="EJ147" s="924"/>
      <c r="EK147" s="924"/>
      <c r="EL147" s="924"/>
      <c r="EM147" s="924"/>
      <c r="EN147" s="924"/>
      <c r="EO147" s="924"/>
      <c r="EP147" s="924"/>
      <c r="EQ147" s="924"/>
      <c r="ER147" s="924"/>
      <c r="ES147" s="924"/>
      <c r="ET147" s="924"/>
      <c r="EU147" s="924"/>
      <c r="EV147" s="924"/>
      <c r="EW147" s="924"/>
      <c r="EX147" s="924"/>
      <c r="EY147" s="924"/>
      <c r="EZ147" s="924"/>
      <c r="FA147" s="924"/>
      <c r="FB147" s="924"/>
      <c r="FC147" s="924"/>
      <c r="FD147" s="924"/>
      <c r="FE147" s="924"/>
      <c r="FF147" s="924"/>
      <c r="FG147" s="924"/>
      <c r="FH147" s="924"/>
      <c r="FI147" s="924"/>
      <c r="FJ147" s="924"/>
      <c r="FK147" s="924"/>
      <c r="FL147" s="924"/>
      <c r="FM147" s="924"/>
      <c r="FN147" s="924"/>
      <c r="FO147" s="924"/>
      <c r="FP147" s="924"/>
      <c r="FQ147" s="924"/>
      <c r="FR147" s="924"/>
      <c r="FS147" s="924"/>
      <c r="FT147" s="924"/>
      <c r="FU147" s="924"/>
      <c r="FV147" s="924"/>
      <c r="FW147" s="924"/>
      <c r="FX147" s="924"/>
      <c r="FY147" s="924"/>
      <c r="FZ147" s="924"/>
      <c r="GA147" s="924"/>
      <c r="GB147" s="924"/>
      <c r="GC147" s="924"/>
      <c r="GD147" s="924"/>
      <c r="GE147" s="924"/>
      <c r="GF147" s="924"/>
      <c r="GG147" s="924"/>
      <c r="GH147" s="924"/>
      <c r="GI147" s="924"/>
      <c r="GJ147" s="924"/>
      <c r="GK147" s="924"/>
      <c r="GL147" s="924"/>
      <c r="GM147" s="924"/>
      <c r="GN147" s="924"/>
    </row>
    <row r="148" spans="1:196" s="343" customFormat="1" ht="13.8" x14ac:dyDescent="0.25">
      <c r="A148" s="1412"/>
      <c r="B148" s="1412"/>
      <c r="C148" s="1407"/>
      <c r="D148" s="1407"/>
      <c r="E148" s="344"/>
      <c r="F148" s="345" t="s">
        <v>198</v>
      </c>
      <c r="G148" s="346">
        <v>391984.62</v>
      </c>
      <c r="H148" s="346">
        <v>494161.39999999997</v>
      </c>
      <c r="I148" s="341">
        <f t="shared" si="22"/>
        <v>102176.77999999997</v>
      </c>
      <c r="J148" s="873">
        <f t="shared" si="21"/>
        <v>0.26066527814280055</v>
      </c>
      <c r="K148" s="424"/>
      <c r="L148" s="470"/>
      <c r="M148" s="1422"/>
      <c r="N148" s="347"/>
      <c r="O148" s="347"/>
      <c r="P148" s="347"/>
      <c r="Q148" s="924"/>
      <c r="R148" s="924"/>
      <c r="S148" s="924"/>
      <c r="T148" s="924"/>
      <c r="U148" s="924"/>
      <c r="V148" s="924"/>
      <c r="W148" s="924"/>
      <c r="X148" s="924"/>
      <c r="Y148" s="924"/>
      <c r="Z148" s="924"/>
      <c r="AA148" s="924"/>
      <c r="AB148" s="924"/>
      <c r="AC148" s="924"/>
      <c r="AD148" s="924"/>
      <c r="AE148" s="924"/>
      <c r="AF148" s="924"/>
      <c r="AG148" s="924"/>
      <c r="AH148" s="924"/>
      <c r="AI148" s="924"/>
      <c r="AJ148" s="924"/>
      <c r="AK148" s="924"/>
      <c r="AL148" s="924"/>
      <c r="AM148" s="924"/>
      <c r="AN148" s="924"/>
      <c r="AO148" s="924"/>
      <c r="AP148" s="924"/>
      <c r="AQ148" s="924"/>
      <c r="AR148" s="924"/>
      <c r="AS148" s="924"/>
      <c r="AT148" s="924"/>
      <c r="AU148" s="924"/>
      <c r="AV148" s="924"/>
      <c r="AW148" s="924"/>
      <c r="AX148" s="924"/>
      <c r="AY148" s="924"/>
      <c r="AZ148" s="924"/>
      <c r="BA148" s="924"/>
      <c r="BB148" s="924"/>
      <c r="BC148" s="924"/>
      <c r="BD148" s="924"/>
      <c r="BE148" s="924"/>
      <c r="BF148" s="924"/>
      <c r="BG148" s="924"/>
      <c r="BH148" s="924"/>
      <c r="BI148" s="924"/>
      <c r="BJ148" s="924"/>
      <c r="BK148" s="924"/>
      <c r="BL148" s="924"/>
      <c r="BM148" s="924"/>
      <c r="BN148" s="924"/>
      <c r="BO148" s="924"/>
      <c r="BP148" s="924"/>
      <c r="BQ148" s="924"/>
      <c r="BR148" s="924"/>
      <c r="BS148" s="924"/>
      <c r="BT148" s="924"/>
      <c r="BU148" s="924"/>
      <c r="BV148" s="924"/>
      <c r="BW148" s="924"/>
      <c r="BX148" s="924"/>
      <c r="BY148" s="924"/>
      <c r="BZ148" s="924"/>
      <c r="CA148" s="924"/>
      <c r="CB148" s="924"/>
      <c r="CC148" s="924"/>
      <c r="CD148" s="924"/>
      <c r="CE148" s="924"/>
      <c r="CF148" s="924"/>
      <c r="CG148" s="924"/>
      <c r="CH148" s="924"/>
      <c r="CI148" s="924"/>
      <c r="CJ148" s="924"/>
      <c r="CK148" s="924"/>
      <c r="CL148" s="924"/>
      <c r="CM148" s="924"/>
      <c r="CN148" s="924"/>
      <c r="CO148" s="924"/>
      <c r="CP148" s="924"/>
      <c r="CQ148" s="924"/>
      <c r="CR148" s="924"/>
      <c r="CS148" s="924"/>
      <c r="CT148" s="924"/>
      <c r="CU148" s="924"/>
      <c r="CV148" s="924"/>
      <c r="CW148" s="924"/>
      <c r="CX148" s="924"/>
      <c r="CY148" s="924"/>
      <c r="CZ148" s="924"/>
      <c r="DA148" s="924"/>
      <c r="DB148" s="924"/>
      <c r="DC148" s="924"/>
      <c r="DD148" s="924"/>
      <c r="DE148" s="924"/>
      <c r="DF148" s="924"/>
      <c r="DG148" s="924"/>
      <c r="DH148" s="924"/>
      <c r="DI148" s="924"/>
      <c r="DJ148" s="924"/>
      <c r="DK148" s="924"/>
      <c r="DL148" s="924"/>
      <c r="DM148" s="924"/>
      <c r="DN148" s="924"/>
      <c r="DO148" s="924"/>
      <c r="DP148" s="924"/>
      <c r="DQ148" s="924"/>
      <c r="DR148" s="924"/>
      <c r="DS148" s="924"/>
      <c r="DT148" s="924"/>
      <c r="DU148" s="924"/>
      <c r="DV148" s="924"/>
      <c r="DW148" s="924"/>
      <c r="DX148" s="924"/>
      <c r="DY148" s="924"/>
      <c r="DZ148" s="924"/>
      <c r="EA148" s="924"/>
      <c r="EB148" s="924"/>
      <c r="EC148" s="924"/>
      <c r="ED148" s="924"/>
      <c r="EE148" s="924"/>
      <c r="EF148" s="924"/>
      <c r="EG148" s="924"/>
      <c r="EH148" s="924"/>
      <c r="EI148" s="924"/>
      <c r="EJ148" s="924"/>
      <c r="EK148" s="924"/>
      <c r="EL148" s="924"/>
      <c r="EM148" s="924"/>
      <c r="EN148" s="924"/>
      <c r="EO148" s="924"/>
      <c r="EP148" s="924"/>
      <c r="EQ148" s="924"/>
      <c r="ER148" s="924"/>
      <c r="ES148" s="924"/>
      <c r="ET148" s="924"/>
      <c r="EU148" s="924"/>
      <c r="EV148" s="924"/>
      <c r="EW148" s="924"/>
      <c r="EX148" s="924"/>
      <c r="EY148" s="924"/>
      <c r="EZ148" s="924"/>
      <c r="FA148" s="924"/>
      <c r="FB148" s="924"/>
      <c r="FC148" s="924"/>
      <c r="FD148" s="924"/>
      <c r="FE148" s="924"/>
      <c r="FF148" s="924"/>
      <c r="FG148" s="924"/>
      <c r="FH148" s="924"/>
      <c r="FI148" s="924"/>
      <c r="FJ148" s="924"/>
      <c r="FK148" s="924"/>
      <c r="FL148" s="924"/>
      <c r="FM148" s="924"/>
      <c r="FN148" s="924"/>
      <c r="FO148" s="924"/>
      <c r="FP148" s="924"/>
      <c r="FQ148" s="924"/>
      <c r="FR148" s="924"/>
      <c r="FS148" s="924"/>
      <c r="FT148" s="924"/>
      <c r="FU148" s="924"/>
      <c r="FV148" s="924"/>
      <c r="FW148" s="924"/>
      <c r="FX148" s="924"/>
      <c r="FY148" s="924"/>
      <c r="FZ148" s="924"/>
      <c r="GA148" s="924"/>
      <c r="GB148" s="924"/>
      <c r="GC148" s="924"/>
      <c r="GD148" s="924"/>
      <c r="GE148" s="924"/>
      <c r="GF148" s="924"/>
      <c r="GG148" s="924"/>
      <c r="GH148" s="924"/>
      <c r="GI148" s="924"/>
      <c r="GJ148" s="924"/>
      <c r="GK148" s="924"/>
      <c r="GL148" s="924"/>
      <c r="GM148" s="924"/>
      <c r="GN148" s="924"/>
    </row>
    <row r="149" spans="1:196" s="343" customFormat="1" ht="13.8" x14ac:dyDescent="0.25">
      <c r="A149" s="1412"/>
      <c r="B149" s="1412"/>
      <c r="C149" s="1407"/>
      <c r="D149" s="1407"/>
      <c r="E149" s="338"/>
      <c r="F149" s="339" t="s">
        <v>197</v>
      </c>
      <c r="G149" s="340">
        <v>24885</v>
      </c>
      <c r="H149" s="340">
        <v>30666</v>
      </c>
      <c r="I149" s="341">
        <f t="shared" si="22"/>
        <v>5781</v>
      </c>
      <c r="J149" s="873">
        <f t="shared" si="21"/>
        <v>0.23230861965039179</v>
      </c>
      <c r="K149" s="424"/>
      <c r="L149" s="470"/>
      <c r="M149" s="1422"/>
      <c r="N149" s="347"/>
      <c r="O149" s="347"/>
      <c r="P149" s="347"/>
      <c r="Q149" s="924"/>
      <c r="R149" s="924"/>
      <c r="S149" s="924"/>
      <c r="T149" s="924"/>
      <c r="U149" s="924"/>
      <c r="V149" s="924"/>
      <c r="W149" s="924"/>
      <c r="X149" s="924"/>
      <c r="Y149" s="924"/>
      <c r="Z149" s="924"/>
      <c r="AA149" s="924"/>
      <c r="AB149" s="924"/>
      <c r="AC149" s="924"/>
      <c r="AD149" s="924"/>
      <c r="AE149" s="924"/>
      <c r="AF149" s="924"/>
      <c r="AG149" s="924"/>
      <c r="AH149" s="924"/>
      <c r="AI149" s="924"/>
      <c r="AJ149" s="924"/>
      <c r="AK149" s="924"/>
      <c r="AL149" s="924"/>
      <c r="AM149" s="924"/>
      <c r="AN149" s="924"/>
      <c r="AO149" s="924"/>
      <c r="AP149" s="924"/>
      <c r="AQ149" s="924"/>
      <c r="AR149" s="924"/>
      <c r="AS149" s="924"/>
      <c r="AT149" s="924"/>
      <c r="AU149" s="924"/>
      <c r="AV149" s="924"/>
      <c r="AW149" s="924"/>
      <c r="AX149" s="924"/>
      <c r="AY149" s="924"/>
      <c r="AZ149" s="924"/>
      <c r="BA149" s="924"/>
      <c r="BB149" s="924"/>
      <c r="BC149" s="924"/>
      <c r="BD149" s="924"/>
      <c r="BE149" s="924"/>
      <c r="BF149" s="924"/>
      <c r="BG149" s="924"/>
      <c r="BH149" s="924"/>
      <c r="BI149" s="924"/>
      <c r="BJ149" s="924"/>
      <c r="BK149" s="924"/>
      <c r="BL149" s="924"/>
      <c r="BM149" s="924"/>
      <c r="BN149" s="924"/>
      <c r="BO149" s="924"/>
      <c r="BP149" s="924"/>
      <c r="BQ149" s="924"/>
      <c r="BR149" s="924"/>
      <c r="BS149" s="924"/>
      <c r="BT149" s="924"/>
      <c r="BU149" s="924"/>
      <c r="BV149" s="924"/>
      <c r="BW149" s="924"/>
      <c r="BX149" s="924"/>
      <c r="BY149" s="924"/>
      <c r="BZ149" s="924"/>
      <c r="CA149" s="924"/>
      <c r="CB149" s="924"/>
      <c r="CC149" s="924"/>
      <c r="CD149" s="924"/>
      <c r="CE149" s="924"/>
      <c r="CF149" s="924"/>
      <c r="CG149" s="924"/>
      <c r="CH149" s="924"/>
      <c r="CI149" s="924"/>
      <c r="CJ149" s="924"/>
      <c r="CK149" s="924"/>
      <c r="CL149" s="924"/>
      <c r="CM149" s="924"/>
      <c r="CN149" s="924"/>
      <c r="CO149" s="924"/>
      <c r="CP149" s="924"/>
      <c r="CQ149" s="924"/>
      <c r="CR149" s="924"/>
      <c r="CS149" s="924"/>
      <c r="CT149" s="924"/>
      <c r="CU149" s="924"/>
      <c r="CV149" s="924"/>
      <c r="CW149" s="924"/>
      <c r="CX149" s="924"/>
      <c r="CY149" s="924"/>
      <c r="CZ149" s="924"/>
      <c r="DA149" s="924"/>
      <c r="DB149" s="924"/>
      <c r="DC149" s="924"/>
      <c r="DD149" s="924"/>
      <c r="DE149" s="924"/>
      <c r="DF149" s="924"/>
      <c r="DG149" s="924"/>
      <c r="DH149" s="924"/>
      <c r="DI149" s="924"/>
      <c r="DJ149" s="924"/>
      <c r="DK149" s="924"/>
      <c r="DL149" s="924"/>
      <c r="DM149" s="924"/>
      <c r="DN149" s="924"/>
      <c r="DO149" s="924"/>
      <c r="DP149" s="924"/>
      <c r="DQ149" s="924"/>
      <c r="DR149" s="924"/>
      <c r="DS149" s="924"/>
      <c r="DT149" s="924"/>
      <c r="DU149" s="924"/>
      <c r="DV149" s="924"/>
      <c r="DW149" s="924"/>
      <c r="DX149" s="924"/>
      <c r="DY149" s="924"/>
      <c r="DZ149" s="924"/>
      <c r="EA149" s="924"/>
      <c r="EB149" s="924"/>
      <c r="EC149" s="924"/>
      <c r="ED149" s="924"/>
      <c r="EE149" s="924"/>
      <c r="EF149" s="924"/>
      <c r="EG149" s="924"/>
      <c r="EH149" s="924"/>
      <c r="EI149" s="924"/>
      <c r="EJ149" s="924"/>
      <c r="EK149" s="924"/>
      <c r="EL149" s="924"/>
      <c r="EM149" s="924"/>
      <c r="EN149" s="924"/>
      <c r="EO149" s="924"/>
      <c r="EP149" s="924"/>
      <c r="EQ149" s="924"/>
      <c r="ER149" s="924"/>
      <c r="ES149" s="924"/>
      <c r="ET149" s="924"/>
      <c r="EU149" s="924"/>
      <c r="EV149" s="924"/>
      <c r="EW149" s="924"/>
      <c r="EX149" s="924"/>
      <c r="EY149" s="924"/>
      <c r="EZ149" s="924"/>
      <c r="FA149" s="924"/>
      <c r="FB149" s="924"/>
      <c r="FC149" s="924"/>
      <c r="FD149" s="924"/>
      <c r="FE149" s="924"/>
      <c r="FF149" s="924"/>
      <c r="FG149" s="924"/>
      <c r="FH149" s="924"/>
      <c r="FI149" s="924"/>
      <c r="FJ149" s="924"/>
      <c r="FK149" s="924"/>
      <c r="FL149" s="924"/>
      <c r="FM149" s="924"/>
      <c r="FN149" s="924"/>
      <c r="FO149" s="924"/>
      <c r="FP149" s="924"/>
      <c r="FQ149" s="924"/>
      <c r="FR149" s="924"/>
      <c r="FS149" s="924"/>
      <c r="FT149" s="924"/>
      <c r="FU149" s="924"/>
      <c r="FV149" s="924"/>
      <c r="FW149" s="924"/>
      <c r="FX149" s="924"/>
      <c r="FY149" s="924"/>
      <c r="FZ149" s="924"/>
      <c r="GA149" s="924"/>
      <c r="GB149" s="924"/>
      <c r="GC149" s="924"/>
      <c r="GD149" s="924"/>
      <c r="GE149" s="924"/>
      <c r="GF149" s="924"/>
      <c r="GG149" s="924"/>
      <c r="GH149" s="924"/>
      <c r="GI149" s="924"/>
      <c r="GJ149" s="924"/>
      <c r="GK149" s="924"/>
      <c r="GL149" s="924"/>
      <c r="GM149" s="924"/>
      <c r="GN149" s="924"/>
    </row>
    <row r="150" spans="1:196" s="525" customFormat="1" ht="13.8" x14ac:dyDescent="0.25">
      <c r="A150" s="1415"/>
      <c r="B150" s="1415"/>
      <c r="C150" s="1416"/>
      <c r="D150" s="1416"/>
      <c r="E150" s="528"/>
      <c r="F150" s="520" t="s">
        <v>354</v>
      </c>
      <c r="G150" s="508">
        <v>123354</v>
      </c>
      <c r="H150" s="508">
        <v>333690</v>
      </c>
      <c r="I150" s="529"/>
      <c r="J150" s="886">
        <f t="shared" si="21"/>
        <v>0</v>
      </c>
      <c r="K150" s="1418"/>
      <c r="L150" s="1417"/>
      <c r="M150" s="1122"/>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5"/>
      <c r="AL150" s="515"/>
      <c r="AM150" s="515"/>
      <c r="AN150" s="515"/>
      <c r="AO150" s="515"/>
      <c r="AP150" s="515"/>
      <c r="AQ150" s="515"/>
      <c r="AR150" s="515"/>
      <c r="AS150" s="515"/>
      <c r="AT150" s="515"/>
      <c r="AU150" s="515"/>
      <c r="AV150" s="515"/>
      <c r="AW150" s="515"/>
      <c r="AX150" s="515"/>
      <c r="AY150" s="515"/>
      <c r="AZ150" s="515"/>
      <c r="BA150" s="515"/>
      <c r="BB150" s="515"/>
      <c r="BC150" s="515"/>
      <c r="BD150" s="515"/>
      <c r="BE150" s="515"/>
      <c r="BF150" s="515"/>
      <c r="BG150" s="515"/>
      <c r="BH150" s="515"/>
      <c r="BI150" s="515"/>
      <c r="BJ150" s="515"/>
      <c r="BK150" s="515"/>
      <c r="BL150" s="515"/>
      <c r="BM150" s="515"/>
      <c r="BN150" s="515"/>
      <c r="BO150" s="515"/>
      <c r="BP150" s="515"/>
      <c r="BQ150" s="515"/>
      <c r="BR150" s="515"/>
      <c r="BS150" s="515"/>
      <c r="BT150" s="515"/>
      <c r="BU150" s="515"/>
      <c r="BV150" s="515"/>
      <c r="BW150" s="515"/>
      <c r="BX150" s="515"/>
      <c r="BY150" s="515"/>
      <c r="BZ150" s="515"/>
      <c r="CA150" s="515"/>
      <c r="CB150" s="515"/>
      <c r="CC150" s="515"/>
      <c r="CD150" s="515"/>
      <c r="CE150" s="515"/>
      <c r="CF150" s="515"/>
      <c r="CG150" s="515"/>
      <c r="CH150" s="515"/>
      <c r="CI150" s="515"/>
      <c r="CJ150" s="515"/>
      <c r="CK150" s="515"/>
      <c r="CL150" s="515"/>
      <c r="CM150" s="515"/>
      <c r="CN150" s="515"/>
      <c r="CO150" s="515"/>
      <c r="CP150" s="515"/>
      <c r="CQ150" s="515"/>
      <c r="CR150" s="515"/>
      <c r="CS150" s="515"/>
      <c r="CT150" s="515"/>
      <c r="CU150" s="515"/>
      <c r="CV150" s="515"/>
      <c r="CW150" s="515"/>
      <c r="CX150" s="515"/>
      <c r="CY150" s="515"/>
      <c r="CZ150" s="515"/>
      <c r="DA150" s="515"/>
      <c r="DB150" s="515"/>
      <c r="DC150" s="515"/>
      <c r="DD150" s="515"/>
      <c r="DE150" s="515"/>
      <c r="DF150" s="515"/>
      <c r="DG150" s="515"/>
      <c r="DH150" s="515"/>
      <c r="DI150" s="515"/>
      <c r="DJ150" s="515"/>
      <c r="DK150" s="515"/>
      <c r="DL150" s="515"/>
      <c r="DM150" s="515"/>
      <c r="DN150" s="515"/>
      <c r="DO150" s="515"/>
      <c r="DP150" s="515"/>
      <c r="DQ150" s="515"/>
      <c r="DR150" s="515"/>
      <c r="DS150" s="515"/>
      <c r="DT150" s="515"/>
      <c r="DU150" s="515"/>
      <c r="DV150" s="515"/>
      <c r="DW150" s="515"/>
      <c r="DX150" s="515"/>
      <c r="DY150" s="515"/>
      <c r="DZ150" s="515"/>
      <c r="EA150" s="515"/>
      <c r="EB150" s="515"/>
      <c r="EC150" s="515"/>
      <c r="ED150" s="515"/>
      <c r="EE150" s="515"/>
      <c r="EF150" s="515"/>
      <c r="EG150" s="515"/>
      <c r="EH150" s="515"/>
      <c r="EI150" s="515"/>
      <c r="EJ150" s="515"/>
      <c r="EK150" s="515"/>
      <c r="EL150" s="515"/>
      <c r="EM150" s="515"/>
      <c r="EN150" s="515"/>
      <c r="EO150" s="515"/>
      <c r="EP150" s="515"/>
      <c r="EQ150" s="515"/>
      <c r="ER150" s="515"/>
      <c r="ES150" s="515"/>
      <c r="ET150" s="515"/>
      <c r="EU150" s="515"/>
      <c r="EV150" s="515"/>
      <c r="EW150" s="515"/>
      <c r="EX150" s="515"/>
      <c r="EY150" s="515"/>
      <c r="EZ150" s="515"/>
      <c r="FA150" s="515"/>
      <c r="FB150" s="515"/>
      <c r="FC150" s="515"/>
      <c r="FD150" s="515"/>
      <c r="FE150" s="515"/>
      <c r="FF150" s="515"/>
      <c r="FG150" s="515"/>
      <c r="FH150" s="515"/>
      <c r="FI150" s="515"/>
      <c r="FJ150" s="515"/>
      <c r="FK150" s="515"/>
      <c r="FL150" s="515"/>
      <c r="FM150" s="515"/>
      <c r="FN150" s="515"/>
      <c r="FO150" s="515"/>
      <c r="FP150" s="515"/>
      <c r="FQ150" s="515"/>
      <c r="FR150" s="515"/>
      <c r="FS150" s="515"/>
      <c r="FT150" s="515"/>
      <c r="FU150" s="515"/>
      <c r="FV150" s="515"/>
      <c r="FW150" s="515"/>
      <c r="FX150" s="515"/>
      <c r="FY150" s="515"/>
      <c r="FZ150" s="515"/>
      <c r="GA150" s="515"/>
      <c r="GB150" s="515"/>
      <c r="GC150" s="515"/>
      <c r="GD150" s="515"/>
      <c r="GE150" s="515"/>
      <c r="GF150" s="515"/>
      <c r="GG150" s="515"/>
      <c r="GH150" s="515"/>
      <c r="GI150" s="515"/>
      <c r="GJ150" s="515"/>
      <c r="GK150" s="515"/>
      <c r="GL150" s="515"/>
      <c r="GM150" s="515"/>
      <c r="GN150" s="515"/>
    </row>
    <row r="151" spans="1:196" s="525" customFormat="1" ht="13.8" x14ac:dyDescent="0.25">
      <c r="A151" s="1415"/>
      <c r="B151" s="1415"/>
      <c r="C151" s="1416"/>
      <c r="D151" s="1416"/>
      <c r="E151" s="528"/>
      <c r="F151" s="1419" t="s">
        <v>167</v>
      </c>
      <c r="G151" s="1420">
        <v>12280</v>
      </c>
      <c r="H151" s="1420">
        <v>13087.993548021685</v>
      </c>
      <c r="I151" s="510">
        <f>H151-G151</f>
        <v>807.99354802168455</v>
      </c>
      <c r="J151" s="876">
        <f t="shared" si="21"/>
        <v>6.5797520197205583E-2</v>
      </c>
      <c r="K151" s="1421"/>
      <c r="L151" s="1417"/>
      <c r="M151" s="1122"/>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5"/>
      <c r="AL151" s="515"/>
      <c r="AM151" s="515"/>
      <c r="AN151" s="515"/>
      <c r="AO151" s="515"/>
      <c r="AP151" s="515"/>
      <c r="AQ151" s="515"/>
      <c r="AR151" s="515"/>
      <c r="AS151" s="515"/>
      <c r="AT151" s="515"/>
      <c r="AU151" s="515"/>
      <c r="AV151" s="515"/>
      <c r="AW151" s="515"/>
      <c r="AX151" s="515"/>
      <c r="AY151" s="515"/>
      <c r="AZ151" s="515"/>
      <c r="BA151" s="515"/>
      <c r="BB151" s="515"/>
      <c r="BC151" s="515"/>
      <c r="BD151" s="515"/>
      <c r="BE151" s="515"/>
      <c r="BF151" s="515"/>
      <c r="BG151" s="515"/>
      <c r="BH151" s="515"/>
      <c r="BI151" s="515"/>
      <c r="BJ151" s="515"/>
      <c r="BK151" s="515"/>
      <c r="BL151" s="515"/>
      <c r="BM151" s="515"/>
      <c r="BN151" s="515"/>
      <c r="BO151" s="515"/>
      <c r="BP151" s="515"/>
      <c r="BQ151" s="515"/>
      <c r="BR151" s="515"/>
      <c r="BS151" s="515"/>
      <c r="BT151" s="515"/>
      <c r="BU151" s="515"/>
      <c r="BV151" s="515"/>
      <c r="BW151" s="515"/>
      <c r="BX151" s="515"/>
      <c r="BY151" s="515"/>
      <c r="BZ151" s="515"/>
      <c r="CA151" s="515"/>
      <c r="CB151" s="515"/>
      <c r="CC151" s="515"/>
      <c r="CD151" s="515"/>
      <c r="CE151" s="515"/>
      <c r="CF151" s="515"/>
      <c r="CG151" s="515"/>
      <c r="CH151" s="515"/>
      <c r="CI151" s="515"/>
      <c r="CJ151" s="515"/>
      <c r="CK151" s="515"/>
      <c r="CL151" s="515"/>
      <c r="CM151" s="515"/>
      <c r="CN151" s="515"/>
      <c r="CO151" s="515"/>
      <c r="CP151" s="515"/>
      <c r="CQ151" s="515"/>
      <c r="CR151" s="515"/>
      <c r="CS151" s="515"/>
      <c r="CT151" s="515"/>
      <c r="CU151" s="515"/>
      <c r="CV151" s="515"/>
      <c r="CW151" s="515"/>
      <c r="CX151" s="515"/>
      <c r="CY151" s="515"/>
      <c r="CZ151" s="515"/>
      <c r="DA151" s="515"/>
      <c r="DB151" s="515"/>
      <c r="DC151" s="515"/>
      <c r="DD151" s="515"/>
      <c r="DE151" s="515"/>
      <c r="DF151" s="515"/>
      <c r="DG151" s="515"/>
      <c r="DH151" s="515"/>
      <c r="DI151" s="515"/>
      <c r="DJ151" s="515"/>
      <c r="DK151" s="515"/>
      <c r="DL151" s="515"/>
      <c r="DM151" s="515"/>
      <c r="DN151" s="515"/>
      <c r="DO151" s="515"/>
      <c r="DP151" s="515"/>
      <c r="DQ151" s="515"/>
      <c r="DR151" s="515"/>
      <c r="DS151" s="515"/>
      <c r="DT151" s="515"/>
      <c r="DU151" s="515"/>
      <c r="DV151" s="515"/>
      <c r="DW151" s="515"/>
      <c r="DX151" s="515"/>
      <c r="DY151" s="515"/>
      <c r="DZ151" s="515"/>
      <c r="EA151" s="515"/>
      <c r="EB151" s="515"/>
      <c r="EC151" s="515"/>
      <c r="ED151" s="515"/>
      <c r="EE151" s="515"/>
      <c r="EF151" s="515"/>
      <c r="EG151" s="515"/>
      <c r="EH151" s="515"/>
      <c r="EI151" s="515"/>
      <c r="EJ151" s="515"/>
      <c r="EK151" s="515"/>
      <c r="EL151" s="515"/>
      <c r="EM151" s="515"/>
      <c r="EN151" s="515"/>
      <c r="EO151" s="515"/>
      <c r="EP151" s="515"/>
      <c r="EQ151" s="515"/>
      <c r="ER151" s="515"/>
      <c r="ES151" s="515"/>
      <c r="ET151" s="515"/>
      <c r="EU151" s="515"/>
      <c r="EV151" s="515"/>
      <c r="EW151" s="515"/>
      <c r="EX151" s="515"/>
      <c r="EY151" s="515"/>
      <c r="EZ151" s="515"/>
      <c r="FA151" s="515"/>
      <c r="FB151" s="515"/>
      <c r="FC151" s="515"/>
      <c r="FD151" s="515"/>
      <c r="FE151" s="515"/>
      <c r="FF151" s="515"/>
      <c r="FG151" s="515"/>
      <c r="FH151" s="515"/>
      <c r="FI151" s="515"/>
      <c r="FJ151" s="515"/>
      <c r="FK151" s="515"/>
      <c r="FL151" s="515"/>
      <c r="FM151" s="515"/>
      <c r="FN151" s="515"/>
      <c r="FO151" s="515"/>
      <c r="FP151" s="515"/>
      <c r="FQ151" s="515"/>
      <c r="FR151" s="515"/>
      <c r="FS151" s="515"/>
      <c r="FT151" s="515"/>
      <c r="FU151" s="515"/>
      <c r="FV151" s="515"/>
      <c r="FW151" s="515"/>
      <c r="FX151" s="515"/>
      <c r="FY151" s="515"/>
      <c r="FZ151" s="515"/>
      <c r="GA151" s="515"/>
      <c r="GB151" s="515"/>
      <c r="GC151" s="515"/>
      <c r="GD151" s="515"/>
      <c r="GE151" s="515"/>
      <c r="GF151" s="515"/>
      <c r="GG151" s="515"/>
      <c r="GH151" s="515"/>
      <c r="GI151" s="515"/>
      <c r="GJ151" s="515"/>
      <c r="GK151" s="515"/>
      <c r="GL151" s="515"/>
      <c r="GM151" s="515"/>
      <c r="GN151" s="515"/>
    </row>
    <row r="152" spans="1:196" s="525" customFormat="1" ht="13.8" x14ac:dyDescent="0.25">
      <c r="A152" s="1415"/>
      <c r="B152" s="1415"/>
      <c r="C152" s="1416"/>
      <c r="D152" s="1416"/>
      <c r="E152" s="523"/>
      <c r="F152" s="520" t="s">
        <v>555</v>
      </c>
      <c r="G152" s="505">
        <v>201846</v>
      </c>
      <c r="H152" s="505">
        <v>317707.55000000005</v>
      </c>
      <c r="I152" s="510">
        <f>H152-G152</f>
        <v>115861.55000000005</v>
      </c>
      <c r="J152" s="876">
        <f t="shared" si="21"/>
        <v>0.57400964101344609</v>
      </c>
      <c r="K152" s="526"/>
      <c r="L152" s="1417"/>
      <c r="M152" s="1122"/>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5"/>
      <c r="AL152" s="515"/>
      <c r="AM152" s="515"/>
      <c r="AN152" s="515"/>
      <c r="AO152" s="515"/>
      <c r="AP152" s="515"/>
      <c r="AQ152" s="515"/>
      <c r="AR152" s="515"/>
      <c r="AS152" s="515"/>
      <c r="AT152" s="515"/>
      <c r="AU152" s="515"/>
      <c r="AV152" s="515"/>
      <c r="AW152" s="515"/>
      <c r="AX152" s="515"/>
      <c r="AY152" s="515"/>
      <c r="AZ152" s="515"/>
      <c r="BA152" s="515"/>
      <c r="BB152" s="515"/>
      <c r="BC152" s="515"/>
      <c r="BD152" s="515"/>
      <c r="BE152" s="515"/>
      <c r="BF152" s="515"/>
      <c r="BG152" s="515"/>
      <c r="BH152" s="515"/>
      <c r="BI152" s="515"/>
      <c r="BJ152" s="515"/>
      <c r="BK152" s="515"/>
      <c r="BL152" s="515"/>
      <c r="BM152" s="515"/>
      <c r="BN152" s="515"/>
      <c r="BO152" s="515"/>
      <c r="BP152" s="515"/>
      <c r="BQ152" s="515"/>
      <c r="BR152" s="515"/>
      <c r="BS152" s="515"/>
      <c r="BT152" s="515"/>
      <c r="BU152" s="515"/>
      <c r="BV152" s="515"/>
      <c r="BW152" s="515"/>
      <c r="BX152" s="515"/>
      <c r="BY152" s="515"/>
      <c r="BZ152" s="515"/>
      <c r="CA152" s="515"/>
      <c r="CB152" s="515"/>
      <c r="CC152" s="515"/>
      <c r="CD152" s="515"/>
      <c r="CE152" s="515"/>
      <c r="CF152" s="515"/>
      <c r="CG152" s="515"/>
      <c r="CH152" s="515"/>
      <c r="CI152" s="515"/>
      <c r="CJ152" s="515"/>
      <c r="CK152" s="515"/>
      <c r="CL152" s="515"/>
      <c r="CM152" s="515"/>
      <c r="CN152" s="515"/>
      <c r="CO152" s="515"/>
      <c r="CP152" s="515"/>
      <c r="CQ152" s="515"/>
      <c r="CR152" s="515"/>
      <c r="CS152" s="515"/>
      <c r="CT152" s="515"/>
      <c r="CU152" s="515"/>
      <c r="CV152" s="515"/>
      <c r="CW152" s="515"/>
      <c r="CX152" s="515"/>
      <c r="CY152" s="515"/>
      <c r="CZ152" s="515"/>
      <c r="DA152" s="515"/>
      <c r="DB152" s="515"/>
      <c r="DC152" s="515"/>
      <c r="DD152" s="515"/>
      <c r="DE152" s="515"/>
      <c r="DF152" s="515"/>
      <c r="DG152" s="515"/>
      <c r="DH152" s="515"/>
      <c r="DI152" s="515"/>
      <c r="DJ152" s="515"/>
      <c r="DK152" s="515"/>
      <c r="DL152" s="515"/>
      <c r="DM152" s="515"/>
      <c r="DN152" s="515"/>
      <c r="DO152" s="515"/>
      <c r="DP152" s="515"/>
      <c r="DQ152" s="515"/>
      <c r="DR152" s="515"/>
      <c r="DS152" s="515"/>
      <c r="DT152" s="515"/>
      <c r="DU152" s="515"/>
      <c r="DV152" s="515"/>
      <c r="DW152" s="515"/>
      <c r="DX152" s="515"/>
      <c r="DY152" s="515"/>
      <c r="DZ152" s="515"/>
      <c r="EA152" s="515"/>
      <c r="EB152" s="515"/>
      <c r="EC152" s="515"/>
      <c r="ED152" s="515"/>
      <c r="EE152" s="515"/>
      <c r="EF152" s="515"/>
      <c r="EG152" s="515"/>
      <c r="EH152" s="515"/>
      <c r="EI152" s="515"/>
      <c r="EJ152" s="515"/>
      <c r="EK152" s="515"/>
      <c r="EL152" s="515"/>
      <c r="EM152" s="515"/>
      <c r="EN152" s="515"/>
      <c r="EO152" s="515"/>
      <c r="EP152" s="515"/>
      <c r="EQ152" s="515"/>
      <c r="ER152" s="515"/>
      <c r="ES152" s="515"/>
      <c r="ET152" s="515"/>
      <c r="EU152" s="515"/>
      <c r="EV152" s="515"/>
      <c r="EW152" s="515"/>
      <c r="EX152" s="515"/>
      <c r="EY152" s="515"/>
      <c r="EZ152" s="515"/>
      <c r="FA152" s="515"/>
      <c r="FB152" s="515"/>
      <c r="FC152" s="515"/>
      <c r="FD152" s="515"/>
      <c r="FE152" s="515"/>
      <c r="FF152" s="515"/>
      <c r="FG152" s="515"/>
      <c r="FH152" s="515"/>
      <c r="FI152" s="515"/>
      <c r="FJ152" s="515"/>
      <c r="FK152" s="515"/>
      <c r="FL152" s="515"/>
      <c r="FM152" s="515"/>
      <c r="FN152" s="515"/>
      <c r="FO152" s="515"/>
      <c r="FP152" s="515"/>
      <c r="FQ152" s="515"/>
      <c r="FR152" s="515"/>
      <c r="FS152" s="515"/>
      <c r="FT152" s="515"/>
      <c r="FU152" s="515"/>
      <c r="FV152" s="515"/>
      <c r="FW152" s="515"/>
      <c r="FX152" s="515"/>
      <c r="FY152" s="515"/>
      <c r="FZ152" s="515"/>
      <c r="GA152" s="515"/>
      <c r="GB152" s="515"/>
      <c r="GC152" s="515"/>
      <c r="GD152" s="515"/>
      <c r="GE152" s="515"/>
      <c r="GF152" s="515"/>
      <c r="GG152" s="515"/>
      <c r="GH152" s="515"/>
      <c r="GI152" s="515"/>
      <c r="GJ152" s="515"/>
      <c r="GK152" s="515"/>
      <c r="GL152" s="515"/>
      <c r="GM152" s="515"/>
      <c r="GN152" s="515"/>
    </row>
    <row r="153" spans="1:196" s="525" customFormat="1" ht="13.8" x14ac:dyDescent="0.25">
      <c r="A153" s="1415"/>
      <c r="B153" s="1415"/>
      <c r="C153" s="1416"/>
      <c r="D153" s="1416"/>
      <c r="E153" s="528"/>
      <c r="F153" s="520" t="s">
        <v>192</v>
      </c>
      <c r="G153" s="508">
        <v>0</v>
      </c>
      <c r="H153" s="508">
        <v>2000</v>
      </c>
      <c r="I153" s="529"/>
      <c r="J153" s="886" t="str">
        <f t="shared" si="21"/>
        <v>-</v>
      </c>
      <c r="K153" s="1418"/>
      <c r="L153" s="1417"/>
      <c r="M153" s="1122"/>
      <c r="N153" s="515"/>
      <c r="O153" s="515"/>
      <c r="P153" s="515"/>
      <c r="Q153" s="515"/>
      <c r="R153" s="515"/>
      <c r="S153" s="515"/>
      <c r="T153" s="515"/>
      <c r="U153" s="515"/>
      <c r="V153" s="515"/>
      <c r="W153" s="515"/>
      <c r="X153" s="515"/>
      <c r="Y153" s="515"/>
      <c r="Z153" s="515"/>
      <c r="AA153" s="515"/>
      <c r="AB153" s="515"/>
      <c r="AC153" s="515"/>
      <c r="AD153" s="515"/>
      <c r="AE153" s="515"/>
      <c r="AF153" s="515"/>
      <c r="AG153" s="515"/>
      <c r="AH153" s="515"/>
      <c r="AI153" s="515"/>
      <c r="AJ153" s="515"/>
      <c r="AK153" s="515"/>
      <c r="AL153" s="515"/>
      <c r="AM153" s="515"/>
      <c r="AN153" s="515"/>
      <c r="AO153" s="515"/>
      <c r="AP153" s="515"/>
      <c r="AQ153" s="515"/>
      <c r="AR153" s="515"/>
      <c r="AS153" s="515"/>
      <c r="AT153" s="515"/>
      <c r="AU153" s="515"/>
      <c r="AV153" s="515"/>
      <c r="AW153" s="515"/>
      <c r="AX153" s="515"/>
      <c r="AY153" s="515"/>
      <c r="AZ153" s="515"/>
      <c r="BA153" s="515"/>
      <c r="BB153" s="515"/>
      <c r="BC153" s="515"/>
      <c r="BD153" s="515"/>
      <c r="BE153" s="515"/>
      <c r="BF153" s="515"/>
      <c r="BG153" s="515"/>
      <c r="BH153" s="515"/>
      <c r="BI153" s="515"/>
      <c r="BJ153" s="515"/>
      <c r="BK153" s="515"/>
      <c r="BL153" s="515"/>
      <c r="BM153" s="515"/>
      <c r="BN153" s="515"/>
      <c r="BO153" s="515"/>
      <c r="BP153" s="515"/>
      <c r="BQ153" s="515"/>
      <c r="BR153" s="515"/>
      <c r="BS153" s="515"/>
      <c r="BT153" s="515"/>
      <c r="BU153" s="515"/>
      <c r="BV153" s="515"/>
      <c r="BW153" s="515"/>
      <c r="BX153" s="515"/>
      <c r="BY153" s="515"/>
      <c r="BZ153" s="515"/>
      <c r="CA153" s="515"/>
      <c r="CB153" s="515"/>
      <c r="CC153" s="515"/>
      <c r="CD153" s="515"/>
      <c r="CE153" s="515"/>
      <c r="CF153" s="515"/>
      <c r="CG153" s="515"/>
      <c r="CH153" s="515"/>
      <c r="CI153" s="515"/>
      <c r="CJ153" s="515"/>
      <c r="CK153" s="515"/>
      <c r="CL153" s="515"/>
      <c r="CM153" s="515"/>
      <c r="CN153" s="515"/>
      <c r="CO153" s="515"/>
      <c r="CP153" s="515"/>
      <c r="CQ153" s="515"/>
      <c r="CR153" s="515"/>
      <c r="CS153" s="515"/>
      <c r="CT153" s="515"/>
      <c r="CU153" s="515"/>
      <c r="CV153" s="515"/>
      <c r="CW153" s="515"/>
      <c r="CX153" s="515"/>
      <c r="CY153" s="515"/>
      <c r="CZ153" s="515"/>
      <c r="DA153" s="515"/>
      <c r="DB153" s="515"/>
      <c r="DC153" s="515"/>
      <c r="DD153" s="515"/>
      <c r="DE153" s="515"/>
      <c r="DF153" s="515"/>
      <c r="DG153" s="515"/>
      <c r="DH153" s="515"/>
      <c r="DI153" s="515"/>
      <c r="DJ153" s="515"/>
      <c r="DK153" s="515"/>
      <c r="DL153" s="515"/>
      <c r="DM153" s="515"/>
      <c r="DN153" s="515"/>
      <c r="DO153" s="515"/>
      <c r="DP153" s="515"/>
      <c r="DQ153" s="515"/>
      <c r="DR153" s="515"/>
      <c r="DS153" s="515"/>
      <c r="DT153" s="515"/>
      <c r="DU153" s="515"/>
      <c r="DV153" s="515"/>
      <c r="DW153" s="515"/>
      <c r="DX153" s="515"/>
      <c r="DY153" s="515"/>
      <c r="DZ153" s="515"/>
      <c r="EA153" s="515"/>
      <c r="EB153" s="515"/>
      <c r="EC153" s="515"/>
      <c r="ED153" s="515"/>
      <c r="EE153" s="515"/>
      <c r="EF153" s="515"/>
      <c r="EG153" s="515"/>
      <c r="EH153" s="515"/>
      <c r="EI153" s="515"/>
      <c r="EJ153" s="515"/>
      <c r="EK153" s="515"/>
      <c r="EL153" s="515"/>
      <c r="EM153" s="515"/>
      <c r="EN153" s="515"/>
      <c r="EO153" s="515"/>
      <c r="EP153" s="515"/>
      <c r="EQ153" s="515"/>
      <c r="ER153" s="515"/>
      <c r="ES153" s="515"/>
      <c r="ET153" s="515"/>
      <c r="EU153" s="515"/>
      <c r="EV153" s="515"/>
      <c r="EW153" s="515"/>
      <c r="EX153" s="515"/>
      <c r="EY153" s="515"/>
      <c r="EZ153" s="515"/>
      <c r="FA153" s="515"/>
      <c r="FB153" s="515"/>
      <c r="FC153" s="515"/>
      <c r="FD153" s="515"/>
      <c r="FE153" s="515"/>
      <c r="FF153" s="515"/>
      <c r="FG153" s="515"/>
      <c r="FH153" s="515"/>
      <c r="FI153" s="515"/>
      <c r="FJ153" s="515"/>
      <c r="FK153" s="515"/>
      <c r="FL153" s="515"/>
      <c r="FM153" s="515"/>
      <c r="FN153" s="515"/>
      <c r="FO153" s="515"/>
      <c r="FP153" s="515"/>
      <c r="FQ153" s="515"/>
      <c r="FR153" s="515"/>
      <c r="FS153" s="515"/>
      <c r="FT153" s="515"/>
      <c r="FU153" s="515"/>
      <c r="FV153" s="515"/>
      <c r="FW153" s="515"/>
      <c r="FX153" s="515"/>
      <c r="FY153" s="515"/>
      <c r="FZ153" s="515"/>
      <c r="GA153" s="515"/>
      <c r="GB153" s="515"/>
      <c r="GC153" s="515"/>
      <c r="GD153" s="515"/>
      <c r="GE153" s="515"/>
      <c r="GF153" s="515"/>
      <c r="GG153" s="515"/>
      <c r="GH153" s="515"/>
      <c r="GI153" s="515"/>
      <c r="GJ153" s="515"/>
      <c r="GK153" s="515"/>
      <c r="GL153" s="515"/>
      <c r="GM153" s="515"/>
      <c r="GN153" s="515"/>
    </row>
    <row r="154" spans="1:196" ht="13.8" x14ac:dyDescent="0.25">
      <c r="C154" s="923">
        <f>449681-G159</f>
        <v>442261</v>
      </c>
      <c r="D154" s="923">
        <f>C154-G154</f>
        <v>60950.67988359998</v>
      </c>
      <c r="E154" s="141" t="s">
        <v>84</v>
      </c>
      <c r="F154" s="142" t="s">
        <v>211</v>
      </c>
      <c r="G154" s="302">
        <v>381310.32011640002</v>
      </c>
      <c r="H154" s="302">
        <v>425622.10582000006</v>
      </c>
      <c r="I154" s="132">
        <f t="shared" ref="I154:I167" si="23">H154-G154</f>
        <v>44311.785703600035</v>
      </c>
      <c r="J154" s="867">
        <f t="shared" si="21"/>
        <v>0.11620924838874877</v>
      </c>
      <c r="K154" s="418"/>
      <c r="L154" s="224"/>
      <c r="M154" s="1124"/>
      <c r="N154" s="410"/>
      <c r="O154" s="410"/>
      <c r="P154" s="410"/>
    </row>
    <row r="155" spans="1:196" s="104" customFormat="1" ht="13.8" hidden="1" outlineLevel="1" x14ac:dyDescent="0.25">
      <c r="A155" s="810" t="s">
        <v>762</v>
      </c>
      <c r="B155" s="810" t="s">
        <v>228</v>
      </c>
      <c r="C155" s="923"/>
      <c r="D155" s="923"/>
      <c r="E155" s="159"/>
      <c r="F155" s="215" t="s">
        <v>228</v>
      </c>
      <c r="G155" s="304">
        <v>307520.32011640002</v>
      </c>
      <c r="H155" s="304">
        <v>343652.10582000006</v>
      </c>
      <c r="I155" s="153">
        <f t="shared" si="23"/>
        <v>36131.785703600035</v>
      </c>
      <c r="J155" s="878">
        <f t="shared" si="21"/>
        <v>0.11749397792615374</v>
      </c>
      <c r="K155" s="430"/>
      <c r="L155" s="224"/>
      <c r="M155" s="1124"/>
      <c r="N155" s="410"/>
      <c r="O155" s="410"/>
      <c r="P155" s="410"/>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row>
    <row r="156" spans="1:196" s="104" customFormat="1" ht="41.4" hidden="1" outlineLevel="1" x14ac:dyDescent="0.25">
      <c r="A156" s="810" t="s">
        <v>762</v>
      </c>
      <c r="B156" s="810" t="s">
        <v>554</v>
      </c>
      <c r="C156" s="923"/>
      <c r="D156" s="923"/>
      <c r="E156" s="214"/>
      <c r="F156" s="160" t="s">
        <v>198</v>
      </c>
      <c r="G156" s="304">
        <v>67790</v>
      </c>
      <c r="H156" s="304">
        <v>78470</v>
      </c>
      <c r="I156" s="153">
        <f t="shared" si="23"/>
        <v>10680</v>
      </c>
      <c r="J156" s="878">
        <f t="shared" si="21"/>
        <v>0.15754536067266559</v>
      </c>
      <c r="K156" s="305" t="s">
        <v>1613</v>
      </c>
      <c r="L156" s="224"/>
      <c r="M156" s="1124"/>
      <c r="N156" s="410"/>
      <c r="O156" s="410"/>
      <c r="P156" s="410"/>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row>
    <row r="157" spans="1:196" s="104" customFormat="1" ht="13.8" hidden="1" outlineLevel="1" x14ac:dyDescent="0.25">
      <c r="A157" s="810" t="s">
        <v>762</v>
      </c>
      <c r="B157" s="810" t="s">
        <v>556</v>
      </c>
      <c r="C157" s="923"/>
      <c r="D157" s="923"/>
      <c r="E157" s="159"/>
      <c r="F157" s="160" t="s">
        <v>197</v>
      </c>
      <c r="G157" s="304">
        <v>6000</v>
      </c>
      <c r="H157" s="304">
        <v>3500</v>
      </c>
      <c r="I157" s="153">
        <f t="shared" si="23"/>
        <v>-2500</v>
      </c>
      <c r="J157" s="878">
        <f t="shared" si="21"/>
        <v>-0.41666666666666669</v>
      </c>
      <c r="K157" s="430"/>
      <c r="L157" s="224"/>
      <c r="M157" s="1124"/>
      <c r="N157" s="410"/>
      <c r="O157" s="410"/>
      <c r="P157" s="410"/>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row>
    <row r="158" spans="1:196" s="525" customFormat="1" ht="13.8" hidden="1" outlineLevel="1" x14ac:dyDescent="0.25">
      <c r="A158" s="1415" t="s">
        <v>762</v>
      </c>
      <c r="B158" s="1415" t="s">
        <v>354</v>
      </c>
      <c r="C158" s="1416"/>
      <c r="D158" s="1416"/>
      <c r="E158" s="523"/>
      <c r="F158" s="520" t="s">
        <v>354</v>
      </c>
      <c r="G158" s="505">
        <v>61301</v>
      </c>
      <c r="H158" s="505">
        <v>149900</v>
      </c>
      <c r="I158" s="510">
        <f t="shared" si="23"/>
        <v>88599</v>
      </c>
      <c r="J158" s="876">
        <f>IFERROR(I158/G158,"-")</f>
        <v>1.4453108432162607</v>
      </c>
      <c r="K158" s="526"/>
      <c r="L158" s="1417"/>
      <c r="M158" s="1122"/>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5"/>
      <c r="AL158" s="515"/>
      <c r="AM158" s="515"/>
      <c r="AN158" s="515"/>
      <c r="AO158" s="515"/>
      <c r="AP158" s="515"/>
      <c r="AQ158" s="515"/>
      <c r="AR158" s="515"/>
      <c r="AS158" s="515"/>
      <c r="AT158" s="515"/>
      <c r="AU158" s="515"/>
      <c r="AV158" s="515"/>
      <c r="AW158" s="515"/>
      <c r="AX158" s="515"/>
      <c r="AY158" s="515"/>
      <c r="AZ158" s="515"/>
      <c r="BA158" s="515"/>
      <c r="BB158" s="515"/>
      <c r="BC158" s="515"/>
      <c r="BD158" s="515"/>
      <c r="BE158" s="515"/>
      <c r="BF158" s="515"/>
      <c r="BG158" s="515"/>
      <c r="BH158" s="515"/>
      <c r="BI158" s="515"/>
      <c r="BJ158" s="515"/>
      <c r="BK158" s="515"/>
      <c r="BL158" s="515"/>
      <c r="BM158" s="515"/>
      <c r="BN158" s="515"/>
      <c r="BO158" s="515"/>
      <c r="BP158" s="515"/>
      <c r="BQ158" s="515"/>
      <c r="BR158" s="515"/>
      <c r="BS158" s="515"/>
      <c r="BT158" s="515"/>
      <c r="BU158" s="515"/>
      <c r="BV158" s="515"/>
      <c r="BW158" s="515"/>
      <c r="BX158" s="515"/>
      <c r="BY158" s="515"/>
      <c r="BZ158" s="515"/>
      <c r="CA158" s="515"/>
      <c r="CB158" s="515"/>
      <c r="CC158" s="515"/>
      <c r="CD158" s="515"/>
      <c r="CE158" s="515"/>
      <c r="CF158" s="515"/>
      <c r="CG158" s="515"/>
      <c r="CH158" s="515"/>
      <c r="CI158" s="515"/>
      <c r="CJ158" s="515"/>
      <c r="CK158" s="515"/>
      <c r="CL158" s="515"/>
      <c r="CM158" s="515"/>
      <c r="CN158" s="515"/>
      <c r="CO158" s="515"/>
      <c r="CP158" s="515"/>
      <c r="CQ158" s="515"/>
      <c r="CR158" s="515"/>
      <c r="CS158" s="515"/>
      <c r="CT158" s="515"/>
      <c r="CU158" s="515"/>
      <c r="CV158" s="515"/>
      <c r="CW158" s="515"/>
      <c r="CX158" s="515"/>
      <c r="CY158" s="515"/>
      <c r="CZ158" s="515"/>
      <c r="DA158" s="515"/>
      <c r="DB158" s="515"/>
      <c r="DC158" s="515"/>
      <c r="DD158" s="515"/>
      <c r="DE158" s="515"/>
      <c r="DF158" s="515"/>
      <c r="DG158" s="515"/>
      <c r="DH158" s="515"/>
      <c r="DI158" s="515"/>
      <c r="DJ158" s="515"/>
      <c r="DK158" s="515"/>
      <c r="DL158" s="515"/>
      <c r="DM158" s="515"/>
      <c r="DN158" s="515"/>
      <c r="DO158" s="515"/>
      <c r="DP158" s="515"/>
      <c r="DQ158" s="515"/>
      <c r="DR158" s="515"/>
      <c r="DS158" s="515"/>
      <c r="DT158" s="515"/>
      <c r="DU158" s="515"/>
      <c r="DV158" s="515"/>
      <c r="DW158" s="515"/>
      <c r="DX158" s="515"/>
      <c r="DY158" s="515"/>
      <c r="DZ158" s="515"/>
      <c r="EA158" s="515"/>
      <c r="EB158" s="515"/>
      <c r="EC158" s="515"/>
      <c r="ED158" s="515"/>
      <c r="EE158" s="515"/>
      <c r="EF158" s="515"/>
      <c r="EG158" s="515"/>
      <c r="EH158" s="515"/>
      <c r="EI158" s="515"/>
      <c r="EJ158" s="515"/>
      <c r="EK158" s="515"/>
      <c r="EL158" s="515"/>
      <c r="EM158" s="515"/>
      <c r="EN158" s="515"/>
      <c r="EO158" s="515"/>
      <c r="EP158" s="515"/>
      <c r="EQ158" s="515"/>
      <c r="ER158" s="515"/>
      <c r="ES158" s="515"/>
      <c r="ET158" s="515"/>
      <c r="EU158" s="515"/>
      <c r="EV158" s="515"/>
      <c r="EW158" s="515"/>
      <c r="EX158" s="515"/>
      <c r="EY158" s="515"/>
      <c r="EZ158" s="515"/>
      <c r="FA158" s="515"/>
      <c r="FB158" s="515"/>
      <c r="FC158" s="515"/>
      <c r="FD158" s="515"/>
      <c r="FE158" s="515"/>
      <c r="FF158" s="515"/>
      <c r="FG158" s="515"/>
      <c r="FH158" s="515"/>
      <c r="FI158" s="515"/>
      <c r="FJ158" s="515"/>
      <c r="FK158" s="515"/>
      <c r="FL158" s="515"/>
      <c r="FM158" s="515"/>
      <c r="FN158" s="515"/>
      <c r="FO158" s="515"/>
      <c r="FP158" s="515"/>
      <c r="FQ158" s="515"/>
      <c r="FR158" s="515"/>
      <c r="FS158" s="515"/>
      <c r="FT158" s="515"/>
      <c r="FU158" s="515"/>
      <c r="FV158" s="515"/>
      <c r="FW158" s="515"/>
      <c r="FX158" s="515"/>
      <c r="FY158" s="515"/>
      <c r="FZ158" s="515"/>
      <c r="GA158" s="515"/>
      <c r="GB158" s="515"/>
      <c r="GC158" s="515"/>
      <c r="GD158" s="515"/>
      <c r="GE158" s="515"/>
      <c r="GF158" s="515"/>
      <c r="GG158" s="515"/>
      <c r="GH158" s="515"/>
      <c r="GI158" s="515"/>
      <c r="GJ158" s="515"/>
      <c r="GK158" s="515"/>
      <c r="GL158" s="515"/>
      <c r="GM158" s="515"/>
      <c r="GN158" s="515"/>
    </row>
    <row r="159" spans="1:196" s="525" customFormat="1" ht="13.8" hidden="1" outlineLevel="1" x14ac:dyDescent="0.25">
      <c r="A159" s="1415" t="s">
        <v>762</v>
      </c>
      <c r="B159" s="1415" t="s">
        <v>182</v>
      </c>
      <c r="C159" s="1416"/>
      <c r="D159" s="1416"/>
      <c r="E159" s="528"/>
      <c r="F159" s="1419" t="s">
        <v>167</v>
      </c>
      <c r="G159" s="505">
        <v>7420</v>
      </c>
      <c r="H159" s="505">
        <v>8328.9983833643491</v>
      </c>
      <c r="I159" s="510">
        <f t="shared" si="23"/>
        <v>908.99838336434914</v>
      </c>
      <c r="J159" s="876">
        <f t="shared" si="21"/>
        <v>0.12250652066904975</v>
      </c>
      <c r="K159" s="1421"/>
      <c r="L159" s="1417"/>
      <c r="M159" s="1122"/>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5"/>
      <c r="AL159" s="515"/>
      <c r="AM159" s="515"/>
      <c r="AN159" s="515"/>
      <c r="AO159" s="515"/>
      <c r="AP159" s="515"/>
      <c r="AQ159" s="515"/>
      <c r="AR159" s="515"/>
      <c r="AS159" s="515"/>
      <c r="AT159" s="515"/>
      <c r="AU159" s="515"/>
      <c r="AV159" s="515"/>
      <c r="AW159" s="515"/>
      <c r="AX159" s="515"/>
      <c r="AY159" s="515"/>
      <c r="AZ159" s="515"/>
      <c r="BA159" s="515"/>
      <c r="BB159" s="515"/>
      <c r="BC159" s="515"/>
      <c r="BD159" s="515"/>
      <c r="BE159" s="515"/>
      <c r="BF159" s="515"/>
      <c r="BG159" s="515"/>
      <c r="BH159" s="515"/>
      <c r="BI159" s="515"/>
      <c r="BJ159" s="515"/>
      <c r="BK159" s="515"/>
      <c r="BL159" s="515"/>
      <c r="BM159" s="515"/>
      <c r="BN159" s="515"/>
      <c r="BO159" s="515"/>
      <c r="BP159" s="515"/>
      <c r="BQ159" s="515"/>
      <c r="BR159" s="515"/>
      <c r="BS159" s="515"/>
      <c r="BT159" s="515"/>
      <c r="BU159" s="515"/>
      <c r="BV159" s="515"/>
      <c r="BW159" s="515"/>
      <c r="BX159" s="515"/>
      <c r="BY159" s="515"/>
      <c r="BZ159" s="515"/>
      <c r="CA159" s="515"/>
      <c r="CB159" s="515"/>
      <c r="CC159" s="515"/>
      <c r="CD159" s="515"/>
      <c r="CE159" s="515"/>
      <c r="CF159" s="515"/>
      <c r="CG159" s="515"/>
      <c r="CH159" s="515"/>
      <c r="CI159" s="515"/>
      <c r="CJ159" s="515"/>
      <c r="CK159" s="515"/>
      <c r="CL159" s="515"/>
      <c r="CM159" s="515"/>
      <c r="CN159" s="515"/>
      <c r="CO159" s="515"/>
      <c r="CP159" s="515"/>
      <c r="CQ159" s="515"/>
      <c r="CR159" s="515"/>
      <c r="CS159" s="515"/>
      <c r="CT159" s="515"/>
      <c r="CU159" s="515"/>
      <c r="CV159" s="515"/>
      <c r="CW159" s="515"/>
      <c r="CX159" s="515"/>
      <c r="CY159" s="515"/>
      <c r="CZ159" s="515"/>
      <c r="DA159" s="515"/>
      <c r="DB159" s="515"/>
      <c r="DC159" s="515"/>
      <c r="DD159" s="515"/>
      <c r="DE159" s="515"/>
      <c r="DF159" s="515"/>
      <c r="DG159" s="515"/>
      <c r="DH159" s="515"/>
      <c r="DI159" s="515"/>
      <c r="DJ159" s="515"/>
      <c r="DK159" s="515"/>
      <c r="DL159" s="515"/>
      <c r="DM159" s="515"/>
      <c r="DN159" s="515"/>
      <c r="DO159" s="515"/>
      <c r="DP159" s="515"/>
      <c r="DQ159" s="515"/>
      <c r="DR159" s="515"/>
      <c r="DS159" s="515"/>
      <c r="DT159" s="515"/>
      <c r="DU159" s="515"/>
      <c r="DV159" s="515"/>
      <c r="DW159" s="515"/>
      <c r="DX159" s="515"/>
      <c r="DY159" s="515"/>
      <c r="DZ159" s="515"/>
      <c r="EA159" s="515"/>
      <c r="EB159" s="515"/>
      <c r="EC159" s="515"/>
      <c r="ED159" s="515"/>
      <c r="EE159" s="515"/>
      <c r="EF159" s="515"/>
      <c r="EG159" s="515"/>
      <c r="EH159" s="515"/>
      <c r="EI159" s="515"/>
      <c r="EJ159" s="515"/>
      <c r="EK159" s="515"/>
      <c r="EL159" s="515"/>
      <c r="EM159" s="515"/>
      <c r="EN159" s="515"/>
      <c r="EO159" s="515"/>
      <c r="EP159" s="515"/>
      <c r="EQ159" s="515"/>
      <c r="ER159" s="515"/>
      <c r="ES159" s="515"/>
      <c r="ET159" s="515"/>
      <c r="EU159" s="515"/>
      <c r="EV159" s="515"/>
      <c r="EW159" s="515"/>
      <c r="EX159" s="515"/>
      <c r="EY159" s="515"/>
      <c r="EZ159" s="515"/>
      <c r="FA159" s="515"/>
      <c r="FB159" s="515"/>
      <c r="FC159" s="515"/>
      <c r="FD159" s="515"/>
      <c r="FE159" s="515"/>
      <c r="FF159" s="515"/>
      <c r="FG159" s="515"/>
      <c r="FH159" s="515"/>
      <c r="FI159" s="515"/>
      <c r="FJ159" s="515"/>
      <c r="FK159" s="515"/>
      <c r="FL159" s="515"/>
      <c r="FM159" s="515"/>
      <c r="FN159" s="515"/>
      <c r="FO159" s="515"/>
      <c r="FP159" s="515"/>
      <c r="FQ159" s="515"/>
      <c r="FR159" s="515"/>
      <c r="FS159" s="515"/>
      <c r="FT159" s="515"/>
      <c r="FU159" s="515"/>
      <c r="FV159" s="515"/>
      <c r="FW159" s="515"/>
      <c r="FX159" s="515"/>
      <c r="FY159" s="515"/>
      <c r="FZ159" s="515"/>
      <c r="GA159" s="515"/>
      <c r="GB159" s="515"/>
      <c r="GC159" s="515"/>
      <c r="GD159" s="515"/>
      <c r="GE159" s="515"/>
      <c r="GF159" s="515"/>
      <c r="GG159" s="515"/>
      <c r="GH159" s="515"/>
      <c r="GI159" s="515"/>
      <c r="GJ159" s="515"/>
      <c r="GK159" s="515"/>
      <c r="GL159" s="515"/>
      <c r="GM159" s="515"/>
      <c r="GN159" s="515"/>
    </row>
    <row r="160" spans="1:196" s="515" customFormat="1" ht="16.2" hidden="1" customHeight="1" outlineLevel="1" x14ac:dyDescent="0.25">
      <c r="A160" s="1415" t="s">
        <v>1101</v>
      </c>
      <c r="B160" s="1415"/>
      <c r="C160" s="1424"/>
      <c r="D160" s="1424"/>
      <c r="E160" s="1425"/>
      <c r="F160" s="1426" t="s">
        <v>1160</v>
      </c>
      <c r="G160" s="513">
        <v>0</v>
      </c>
      <c r="H160" s="518">
        <v>135145.60000000001</v>
      </c>
      <c r="I160" s="513">
        <f t="shared" ref="I160" si="24">H160-G160</f>
        <v>135145.60000000001</v>
      </c>
      <c r="J160" s="1427" t="str">
        <f t="shared" si="21"/>
        <v>-</v>
      </c>
      <c r="K160" s="1428"/>
      <c r="L160" s="1417"/>
      <c r="M160" s="1122"/>
    </row>
    <row r="161" spans="1:196" s="525" customFormat="1" ht="13.8" hidden="1" outlineLevel="1" x14ac:dyDescent="0.25">
      <c r="A161" s="1415" t="s">
        <v>762</v>
      </c>
      <c r="B161" s="1415" t="s">
        <v>555</v>
      </c>
      <c r="C161" s="1416"/>
      <c r="D161" s="1416"/>
      <c r="E161" s="528"/>
      <c r="F161" s="520" t="s">
        <v>555</v>
      </c>
      <c r="G161" s="505">
        <v>0</v>
      </c>
      <c r="H161" s="505">
        <v>23320</v>
      </c>
      <c r="I161" s="510">
        <f t="shared" si="23"/>
        <v>23320</v>
      </c>
      <c r="J161" s="876" t="str">
        <f t="shared" si="21"/>
        <v>-</v>
      </c>
      <c r="K161" s="526"/>
      <c r="L161" s="1417"/>
      <c r="M161" s="1122"/>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5"/>
      <c r="AL161" s="515"/>
      <c r="AM161" s="515"/>
      <c r="AN161" s="515"/>
      <c r="AO161" s="515"/>
      <c r="AP161" s="515"/>
      <c r="AQ161" s="515"/>
      <c r="AR161" s="515"/>
      <c r="AS161" s="515"/>
      <c r="AT161" s="515"/>
      <c r="AU161" s="515"/>
      <c r="AV161" s="515"/>
      <c r="AW161" s="515"/>
      <c r="AX161" s="515"/>
      <c r="AY161" s="515"/>
      <c r="AZ161" s="515"/>
      <c r="BA161" s="515"/>
      <c r="BB161" s="515"/>
      <c r="BC161" s="515"/>
      <c r="BD161" s="515"/>
      <c r="BE161" s="515"/>
      <c r="BF161" s="515"/>
      <c r="BG161" s="515"/>
      <c r="BH161" s="515"/>
      <c r="BI161" s="515"/>
      <c r="BJ161" s="515"/>
      <c r="BK161" s="515"/>
      <c r="BL161" s="515"/>
      <c r="BM161" s="515"/>
      <c r="BN161" s="515"/>
      <c r="BO161" s="515"/>
      <c r="BP161" s="515"/>
      <c r="BQ161" s="515"/>
      <c r="BR161" s="515"/>
      <c r="BS161" s="515"/>
      <c r="BT161" s="515"/>
      <c r="BU161" s="515"/>
      <c r="BV161" s="515"/>
      <c r="BW161" s="515"/>
      <c r="BX161" s="515"/>
      <c r="BY161" s="515"/>
      <c r="BZ161" s="515"/>
      <c r="CA161" s="515"/>
      <c r="CB161" s="515"/>
      <c r="CC161" s="515"/>
      <c r="CD161" s="515"/>
      <c r="CE161" s="515"/>
      <c r="CF161" s="515"/>
      <c r="CG161" s="515"/>
      <c r="CH161" s="515"/>
      <c r="CI161" s="515"/>
      <c r="CJ161" s="515"/>
      <c r="CK161" s="515"/>
      <c r="CL161" s="515"/>
      <c r="CM161" s="515"/>
      <c r="CN161" s="515"/>
      <c r="CO161" s="515"/>
      <c r="CP161" s="515"/>
      <c r="CQ161" s="515"/>
      <c r="CR161" s="515"/>
      <c r="CS161" s="515"/>
      <c r="CT161" s="515"/>
      <c r="CU161" s="515"/>
      <c r="CV161" s="515"/>
      <c r="CW161" s="515"/>
      <c r="CX161" s="515"/>
      <c r="CY161" s="515"/>
      <c r="CZ161" s="515"/>
      <c r="DA161" s="515"/>
      <c r="DB161" s="515"/>
      <c r="DC161" s="515"/>
      <c r="DD161" s="515"/>
      <c r="DE161" s="515"/>
      <c r="DF161" s="515"/>
      <c r="DG161" s="515"/>
      <c r="DH161" s="515"/>
      <c r="DI161" s="515"/>
      <c r="DJ161" s="515"/>
      <c r="DK161" s="515"/>
      <c r="DL161" s="515"/>
      <c r="DM161" s="515"/>
      <c r="DN161" s="515"/>
      <c r="DO161" s="515"/>
      <c r="DP161" s="515"/>
      <c r="DQ161" s="515"/>
      <c r="DR161" s="515"/>
      <c r="DS161" s="515"/>
      <c r="DT161" s="515"/>
      <c r="DU161" s="515"/>
      <c r="DV161" s="515"/>
      <c r="DW161" s="515"/>
      <c r="DX161" s="515"/>
      <c r="DY161" s="515"/>
      <c r="DZ161" s="515"/>
      <c r="EA161" s="515"/>
      <c r="EB161" s="515"/>
      <c r="EC161" s="515"/>
      <c r="ED161" s="515"/>
      <c r="EE161" s="515"/>
      <c r="EF161" s="515"/>
      <c r="EG161" s="515"/>
      <c r="EH161" s="515"/>
      <c r="EI161" s="515"/>
      <c r="EJ161" s="515"/>
      <c r="EK161" s="515"/>
      <c r="EL161" s="515"/>
      <c r="EM161" s="515"/>
      <c r="EN161" s="515"/>
      <c r="EO161" s="515"/>
      <c r="EP161" s="515"/>
      <c r="EQ161" s="515"/>
      <c r="ER161" s="515"/>
      <c r="ES161" s="515"/>
      <c r="ET161" s="515"/>
      <c r="EU161" s="515"/>
      <c r="EV161" s="515"/>
      <c r="EW161" s="515"/>
      <c r="EX161" s="515"/>
      <c r="EY161" s="515"/>
      <c r="EZ161" s="515"/>
      <c r="FA161" s="515"/>
      <c r="FB161" s="515"/>
      <c r="FC161" s="515"/>
      <c r="FD161" s="515"/>
      <c r="FE161" s="515"/>
      <c r="FF161" s="515"/>
      <c r="FG161" s="515"/>
      <c r="FH161" s="515"/>
      <c r="FI161" s="515"/>
      <c r="FJ161" s="515"/>
      <c r="FK161" s="515"/>
      <c r="FL161" s="515"/>
      <c r="FM161" s="515"/>
      <c r="FN161" s="515"/>
      <c r="FO161" s="515"/>
      <c r="FP161" s="515"/>
      <c r="FQ161" s="515"/>
      <c r="FR161" s="515"/>
      <c r="FS161" s="515"/>
      <c r="FT161" s="515"/>
      <c r="FU161" s="515"/>
      <c r="FV161" s="515"/>
      <c r="FW161" s="515"/>
      <c r="FX161" s="515"/>
      <c r="FY161" s="515"/>
      <c r="FZ161" s="515"/>
      <c r="GA161" s="515"/>
      <c r="GB161" s="515"/>
      <c r="GC161" s="515"/>
      <c r="GD161" s="515"/>
      <c r="GE161" s="515"/>
      <c r="GF161" s="515"/>
      <c r="GG161" s="515"/>
      <c r="GH161" s="515"/>
      <c r="GI161" s="515"/>
      <c r="GJ161" s="515"/>
      <c r="GK161" s="515"/>
      <c r="GL161" s="515"/>
      <c r="GM161" s="515"/>
      <c r="GN161" s="515"/>
    </row>
    <row r="162" spans="1:196" ht="13.8" collapsed="1" x14ac:dyDescent="0.25">
      <c r="C162" s="923">
        <v>262267</v>
      </c>
      <c r="D162" s="923">
        <f>C162-G162</f>
        <v>31584</v>
      </c>
      <c r="E162" s="141" t="s">
        <v>85</v>
      </c>
      <c r="F162" s="142" t="s">
        <v>628</v>
      </c>
      <c r="G162" s="302">
        <v>230683</v>
      </c>
      <c r="H162" s="302">
        <v>264669.05244999996</v>
      </c>
      <c r="I162" s="132">
        <f t="shared" si="23"/>
        <v>33986.052449999959</v>
      </c>
      <c r="J162" s="867">
        <f t="shared" si="21"/>
        <v>0.14732794549229877</v>
      </c>
      <c r="K162" s="418"/>
      <c r="L162" s="224"/>
      <c r="M162" s="1124"/>
      <c r="N162" s="410"/>
      <c r="O162" s="410"/>
      <c r="P162" s="410"/>
    </row>
    <row r="163" spans="1:196" s="104" customFormat="1" ht="13.8" hidden="1" outlineLevel="1" x14ac:dyDescent="0.25">
      <c r="A163" s="810" t="s">
        <v>782</v>
      </c>
      <c r="B163" s="810" t="s">
        <v>228</v>
      </c>
      <c r="C163" s="923"/>
      <c r="D163" s="923"/>
      <c r="E163" s="159"/>
      <c r="F163" s="215" t="s">
        <v>228</v>
      </c>
      <c r="G163" s="296">
        <v>200455</v>
      </c>
      <c r="H163" s="304">
        <v>222149.05244999999</v>
      </c>
      <c r="I163" s="153">
        <f t="shared" si="23"/>
        <v>21694.052449999988</v>
      </c>
      <c r="J163" s="878">
        <f t="shared" si="21"/>
        <v>0.10822405253049307</v>
      </c>
      <c r="K163" s="430"/>
      <c r="L163" s="224"/>
      <c r="M163" s="1124"/>
      <c r="N163" s="410"/>
      <c r="O163" s="410"/>
      <c r="P163" s="410"/>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row>
    <row r="164" spans="1:196" s="104" customFormat="1" ht="69" hidden="1" outlineLevel="1" x14ac:dyDescent="0.25">
      <c r="A164" s="810" t="s">
        <v>782</v>
      </c>
      <c r="B164" s="810" t="s">
        <v>554</v>
      </c>
      <c r="C164" s="923"/>
      <c r="D164" s="923"/>
      <c r="E164" s="214"/>
      <c r="F164" s="160" t="s">
        <v>198</v>
      </c>
      <c r="G164" s="296">
        <v>30228</v>
      </c>
      <c r="H164" s="304">
        <v>42520</v>
      </c>
      <c r="I164" s="153">
        <f t="shared" si="23"/>
        <v>12292</v>
      </c>
      <c r="J164" s="878">
        <f t="shared" si="21"/>
        <v>0.4066428476908826</v>
      </c>
      <c r="K164" s="421" t="s">
        <v>1458</v>
      </c>
      <c r="L164" s="224"/>
      <c r="M164" s="1124"/>
      <c r="N164" s="410"/>
      <c r="O164" s="410"/>
      <c r="P164" s="410"/>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row>
    <row r="165" spans="1:196" s="104" customFormat="1" ht="13.8" hidden="1" outlineLevel="1" x14ac:dyDescent="0.25">
      <c r="A165" s="810" t="s">
        <v>782</v>
      </c>
      <c r="B165" s="810" t="s">
        <v>556</v>
      </c>
      <c r="C165" s="923"/>
      <c r="D165" s="923"/>
      <c r="E165" s="159"/>
      <c r="F165" s="160" t="s">
        <v>197</v>
      </c>
      <c r="G165" s="296">
        <v>0</v>
      </c>
      <c r="H165" s="304">
        <v>0</v>
      </c>
      <c r="I165" s="153">
        <f t="shared" si="23"/>
        <v>0</v>
      </c>
      <c r="J165" s="878" t="str">
        <f t="shared" si="21"/>
        <v>-</v>
      </c>
      <c r="K165" s="430"/>
      <c r="L165" s="224"/>
      <c r="M165" s="1124"/>
      <c r="N165" s="410"/>
      <c r="O165" s="410"/>
      <c r="P165" s="410"/>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row>
    <row r="166" spans="1:196" s="104" customFormat="1" ht="13.8" hidden="1" outlineLevel="1" x14ac:dyDescent="0.25">
      <c r="A166" s="810" t="s">
        <v>782</v>
      </c>
      <c r="B166" s="810" t="s">
        <v>565</v>
      </c>
      <c r="C166" s="923"/>
      <c r="D166" s="923"/>
      <c r="E166" s="159"/>
      <c r="F166" s="160" t="s">
        <v>608</v>
      </c>
      <c r="G166" s="296">
        <v>27806</v>
      </c>
      <c r="H166" s="304">
        <v>124100</v>
      </c>
      <c r="I166" s="153">
        <f t="shared" si="23"/>
        <v>96294</v>
      </c>
      <c r="J166" s="878">
        <f t="shared" si="21"/>
        <v>3.4630655254261669</v>
      </c>
      <c r="K166" s="430"/>
      <c r="L166" s="224"/>
      <c r="M166" s="1124"/>
      <c r="N166" s="410"/>
      <c r="O166" s="410"/>
      <c r="P166" s="410"/>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row>
    <row r="167" spans="1:196" s="525" customFormat="1" ht="13.8" hidden="1" outlineLevel="1" x14ac:dyDescent="0.25">
      <c r="A167" s="1415" t="s">
        <v>782</v>
      </c>
      <c r="B167" s="1415" t="s">
        <v>182</v>
      </c>
      <c r="C167" s="1416"/>
      <c r="D167" s="1416"/>
      <c r="E167" s="528"/>
      <c r="F167" s="1419" t="s">
        <v>167</v>
      </c>
      <c r="G167" s="505">
        <v>4860</v>
      </c>
      <c r="H167" s="505">
        <v>4758.9951646573354</v>
      </c>
      <c r="I167" s="510">
        <f t="shared" si="23"/>
        <v>-101.00483534266459</v>
      </c>
      <c r="J167" s="876">
        <f t="shared" si="21"/>
        <v>-2.0782887930589421E-2</v>
      </c>
      <c r="K167" s="1421"/>
      <c r="L167" s="1417"/>
      <c r="M167" s="1122"/>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5"/>
      <c r="AL167" s="515"/>
      <c r="AM167" s="515"/>
      <c r="AN167" s="515"/>
      <c r="AO167" s="515"/>
      <c r="AP167" s="515"/>
      <c r="AQ167" s="515"/>
      <c r="AR167" s="515"/>
      <c r="AS167" s="515"/>
      <c r="AT167" s="515"/>
      <c r="AU167" s="515"/>
      <c r="AV167" s="515"/>
      <c r="AW167" s="515"/>
      <c r="AX167" s="515"/>
      <c r="AY167" s="515"/>
      <c r="AZ167" s="515"/>
      <c r="BA167" s="515"/>
      <c r="BB167" s="515"/>
      <c r="BC167" s="515"/>
      <c r="BD167" s="515"/>
      <c r="BE167" s="515"/>
      <c r="BF167" s="515"/>
      <c r="BG167" s="515"/>
      <c r="BH167" s="515"/>
      <c r="BI167" s="515"/>
      <c r="BJ167" s="515"/>
      <c r="BK167" s="515"/>
      <c r="BL167" s="515"/>
      <c r="BM167" s="515"/>
      <c r="BN167" s="515"/>
      <c r="BO167" s="515"/>
      <c r="BP167" s="515"/>
      <c r="BQ167" s="515"/>
      <c r="BR167" s="515"/>
      <c r="BS167" s="515"/>
      <c r="BT167" s="515"/>
      <c r="BU167" s="515"/>
      <c r="BV167" s="515"/>
      <c r="BW167" s="515"/>
      <c r="BX167" s="515"/>
      <c r="BY167" s="515"/>
      <c r="BZ167" s="515"/>
      <c r="CA167" s="515"/>
      <c r="CB167" s="515"/>
      <c r="CC167" s="515"/>
      <c r="CD167" s="515"/>
      <c r="CE167" s="515"/>
      <c r="CF167" s="515"/>
      <c r="CG167" s="515"/>
      <c r="CH167" s="515"/>
      <c r="CI167" s="515"/>
      <c r="CJ167" s="515"/>
      <c r="CK167" s="515"/>
      <c r="CL167" s="515"/>
      <c r="CM167" s="515"/>
      <c r="CN167" s="515"/>
      <c r="CO167" s="515"/>
      <c r="CP167" s="515"/>
      <c r="CQ167" s="515"/>
      <c r="CR167" s="515"/>
      <c r="CS167" s="515"/>
      <c r="CT167" s="515"/>
      <c r="CU167" s="515"/>
      <c r="CV167" s="515"/>
      <c r="CW167" s="515"/>
      <c r="CX167" s="515"/>
      <c r="CY167" s="515"/>
      <c r="CZ167" s="515"/>
      <c r="DA167" s="515"/>
      <c r="DB167" s="515"/>
      <c r="DC167" s="515"/>
      <c r="DD167" s="515"/>
      <c r="DE167" s="515"/>
      <c r="DF167" s="515"/>
      <c r="DG167" s="515"/>
      <c r="DH167" s="515"/>
      <c r="DI167" s="515"/>
      <c r="DJ167" s="515"/>
      <c r="DK167" s="515"/>
      <c r="DL167" s="515"/>
      <c r="DM167" s="515"/>
      <c r="DN167" s="515"/>
      <c r="DO167" s="515"/>
      <c r="DP167" s="515"/>
      <c r="DQ167" s="515"/>
      <c r="DR167" s="515"/>
      <c r="DS167" s="515"/>
      <c r="DT167" s="515"/>
      <c r="DU167" s="515"/>
      <c r="DV167" s="515"/>
      <c r="DW167" s="515"/>
      <c r="DX167" s="515"/>
      <c r="DY167" s="515"/>
      <c r="DZ167" s="515"/>
      <c r="EA167" s="515"/>
      <c r="EB167" s="515"/>
      <c r="EC167" s="515"/>
      <c r="ED167" s="515"/>
      <c r="EE167" s="515"/>
      <c r="EF167" s="515"/>
      <c r="EG167" s="515"/>
      <c r="EH167" s="515"/>
      <c r="EI167" s="515"/>
      <c r="EJ167" s="515"/>
      <c r="EK167" s="515"/>
      <c r="EL167" s="515"/>
      <c r="EM167" s="515"/>
      <c r="EN167" s="515"/>
      <c r="EO167" s="515"/>
      <c r="EP167" s="515"/>
      <c r="EQ167" s="515"/>
      <c r="ER167" s="515"/>
      <c r="ES167" s="515"/>
      <c r="ET167" s="515"/>
      <c r="EU167" s="515"/>
      <c r="EV167" s="515"/>
      <c r="EW167" s="515"/>
      <c r="EX167" s="515"/>
      <c r="EY167" s="515"/>
      <c r="EZ167" s="515"/>
      <c r="FA167" s="515"/>
      <c r="FB167" s="515"/>
      <c r="FC167" s="515"/>
      <c r="FD167" s="515"/>
      <c r="FE167" s="515"/>
      <c r="FF167" s="515"/>
      <c r="FG167" s="515"/>
      <c r="FH167" s="515"/>
      <c r="FI167" s="515"/>
      <c r="FJ167" s="515"/>
      <c r="FK167" s="515"/>
      <c r="FL167" s="515"/>
      <c r="FM167" s="515"/>
      <c r="FN167" s="515"/>
      <c r="FO167" s="515"/>
      <c r="FP167" s="515"/>
      <c r="FQ167" s="515"/>
      <c r="FR167" s="515"/>
      <c r="FS167" s="515"/>
      <c r="FT167" s="515"/>
      <c r="FU167" s="515"/>
      <c r="FV167" s="515"/>
      <c r="FW167" s="515"/>
      <c r="FX167" s="515"/>
      <c r="FY167" s="515"/>
      <c r="FZ167" s="515"/>
      <c r="GA167" s="515"/>
      <c r="GB167" s="515"/>
      <c r="GC167" s="515"/>
      <c r="GD167" s="515"/>
      <c r="GE167" s="515"/>
      <c r="GF167" s="515"/>
      <c r="GG167" s="515"/>
      <c r="GH167" s="515"/>
      <c r="GI167" s="515"/>
      <c r="GJ167" s="515"/>
      <c r="GK167" s="515"/>
      <c r="GL167" s="515"/>
      <c r="GM167" s="515"/>
      <c r="GN167" s="515"/>
    </row>
    <row r="168" spans="1:196" s="525" customFormat="1" ht="13.8" hidden="1" outlineLevel="1" x14ac:dyDescent="0.25">
      <c r="A168" s="1415" t="s">
        <v>782</v>
      </c>
      <c r="B168" s="1415" t="s">
        <v>555</v>
      </c>
      <c r="C168" s="1416"/>
      <c r="D168" s="1416"/>
      <c r="E168" s="523"/>
      <c r="F168" s="520" t="s">
        <v>555</v>
      </c>
      <c r="G168" s="505">
        <v>0</v>
      </c>
      <c r="H168" s="505">
        <v>5000</v>
      </c>
      <c r="I168" s="510">
        <f>H168-G168</f>
        <v>5000</v>
      </c>
      <c r="J168" s="876" t="str">
        <f t="shared" si="21"/>
        <v>-</v>
      </c>
      <c r="K168" s="526"/>
      <c r="L168" s="1417"/>
      <c r="M168" s="1122"/>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5"/>
      <c r="AL168" s="515"/>
      <c r="AM168" s="515"/>
      <c r="AN168" s="515"/>
      <c r="AO168" s="515"/>
      <c r="AP168" s="515"/>
      <c r="AQ168" s="515"/>
      <c r="AR168" s="515"/>
      <c r="AS168" s="515"/>
      <c r="AT168" s="515"/>
      <c r="AU168" s="515"/>
      <c r="AV168" s="515"/>
      <c r="AW168" s="515"/>
      <c r="AX168" s="515"/>
      <c r="AY168" s="515"/>
      <c r="AZ168" s="515"/>
      <c r="BA168" s="515"/>
      <c r="BB168" s="515"/>
      <c r="BC168" s="515"/>
      <c r="BD168" s="515"/>
      <c r="BE168" s="515"/>
      <c r="BF168" s="515"/>
      <c r="BG168" s="515"/>
      <c r="BH168" s="515"/>
      <c r="BI168" s="515"/>
      <c r="BJ168" s="515"/>
      <c r="BK168" s="515"/>
      <c r="BL168" s="515"/>
      <c r="BM168" s="515"/>
      <c r="BN168" s="515"/>
      <c r="BO168" s="515"/>
      <c r="BP168" s="515"/>
      <c r="BQ168" s="515"/>
      <c r="BR168" s="515"/>
      <c r="BS168" s="515"/>
      <c r="BT168" s="515"/>
      <c r="BU168" s="515"/>
      <c r="BV168" s="515"/>
      <c r="BW168" s="515"/>
      <c r="BX168" s="515"/>
      <c r="BY168" s="515"/>
      <c r="BZ168" s="515"/>
      <c r="CA168" s="515"/>
      <c r="CB168" s="515"/>
      <c r="CC168" s="515"/>
      <c r="CD168" s="515"/>
      <c r="CE168" s="515"/>
      <c r="CF168" s="515"/>
      <c r="CG168" s="515"/>
      <c r="CH168" s="515"/>
      <c r="CI168" s="515"/>
      <c r="CJ168" s="515"/>
      <c r="CK168" s="515"/>
      <c r="CL168" s="515"/>
      <c r="CM168" s="515"/>
      <c r="CN168" s="515"/>
      <c r="CO168" s="515"/>
      <c r="CP168" s="515"/>
      <c r="CQ168" s="515"/>
      <c r="CR168" s="515"/>
      <c r="CS168" s="515"/>
      <c r="CT168" s="515"/>
      <c r="CU168" s="515"/>
      <c r="CV168" s="515"/>
      <c r="CW168" s="515"/>
      <c r="CX168" s="515"/>
      <c r="CY168" s="515"/>
      <c r="CZ168" s="515"/>
      <c r="DA168" s="515"/>
      <c r="DB168" s="515"/>
      <c r="DC168" s="515"/>
      <c r="DD168" s="515"/>
      <c r="DE168" s="515"/>
      <c r="DF168" s="515"/>
      <c r="DG168" s="515"/>
      <c r="DH168" s="515"/>
      <c r="DI168" s="515"/>
      <c r="DJ168" s="515"/>
      <c r="DK168" s="515"/>
      <c r="DL168" s="515"/>
      <c r="DM168" s="515"/>
      <c r="DN168" s="515"/>
      <c r="DO168" s="515"/>
      <c r="DP168" s="515"/>
      <c r="DQ168" s="515"/>
      <c r="DR168" s="515"/>
      <c r="DS168" s="515"/>
      <c r="DT168" s="515"/>
      <c r="DU168" s="515"/>
      <c r="DV168" s="515"/>
      <c r="DW168" s="515"/>
      <c r="DX168" s="515"/>
      <c r="DY168" s="515"/>
      <c r="DZ168" s="515"/>
      <c r="EA168" s="515"/>
      <c r="EB168" s="515"/>
      <c r="EC168" s="515"/>
      <c r="ED168" s="515"/>
      <c r="EE168" s="515"/>
      <c r="EF168" s="515"/>
      <c r="EG168" s="515"/>
      <c r="EH168" s="515"/>
      <c r="EI168" s="515"/>
      <c r="EJ168" s="515"/>
      <c r="EK168" s="515"/>
      <c r="EL168" s="515"/>
      <c r="EM168" s="515"/>
      <c r="EN168" s="515"/>
      <c r="EO168" s="515"/>
      <c r="EP168" s="515"/>
      <c r="EQ168" s="515"/>
      <c r="ER168" s="515"/>
      <c r="ES168" s="515"/>
      <c r="ET168" s="515"/>
      <c r="EU168" s="515"/>
      <c r="EV168" s="515"/>
      <c r="EW168" s="515"/>
      <c r="EX168" s="515"/>
      <c r="EY168" s="515"/>
      <c r="EZ168" s="515"/>
      <c r="FA168" s="515"/>
      <c r="FB168" s="515"/>
      <c r="FC168" s="515"/>
      <c r="FD168" s="515"/>
      <c r="FE168" s="515"/>
      <c r="FF168" s="515"/>
      <c r="FG168" s="515"/>
      <c r="FH168" s="515"/>
      <c r="FI168" s="515"/>
      <c r="FJ168" s="515"/>
      <c r="FK168" s="515"/>
      <c r="FL168" s="515"/>
      <c r="FM168" s="515"/>
      <c r="FN168" s="515"/>
      <c r="FO168" s="515"/>
      <c r="FP168" s="515"/>
      <c r="FQ168" s="515"/>
      <c r="FR168" s="515"/>
      <c r="FS168" s="515"/>
      <c r="FT168" s="515"/>
      <c r="FU168" s="515"/>
      <c r="FV168" s="515"/>
      <c r="FW168" s="515"/>
      <c r="FX168" s="515"/>
      <c r="FY168" s="515"/>
      <c r="FZ168" s="515"/>
      <c r="GA168" s="515"/>
      <c r="GB168" s="515"/>
      <c r="GC168" s="515"/>
      <c r="GD168" s="515"/>
      <c r="GE168" s="515"/>
      <c r="GF168" s="515"/>
      <c r="GG168" s="515"/>
      <c r="GH168" s="515"/>
      <c r="GI168" s="515"/>
      <c r="GJ168" s="515"/>
      <c r="GK168" s="515"/>
      <c r="GL168" s="515"/>
      <c r="GM168" s="515"/>
      <c r="GN168" s="515"/>
    </row>
    <row r="169" spans="1:196" ht="13.8" collapsed="1" x14ac:dyDescent="0.25">
      <c r="C169" s="923">
        <v>106575</v>
      </c>
      <c r="D169" s="923">
        <f>C169-G169</f>
        <v>-0.60496399999829009</v>
      </c>
      <c r="E169" s="141" t="s">
        <v>86</v>
      </c>
      <c r="F169" s="142" t="s">
        <v>625</v>
      </c>
      <c r="G169" s="302">
        <v>106575.604964</v>
      </c>
      <c r="H169" s="302">
        <v>121138.2865</v>
      </c>
      <c r="I169" s="132">
        <f>H169-G169</f>
        <v>14562.681536000004</v>
      </c>
      <c r="J169" s="867">
        <f t="shared" si="21"/>
        <v>0.1366417909700734</v>
      </c>
      <c r="K169" s="418"/>
      <c r="L169" s="224"/>
      <c r="M169" s="1124"/>
      <c r="N169" s="410"/>
      <c r="O169" s="410"/>
      <c r="P169" s="410"/>
    </row>
    <row r="170" spans="1:196" s="104" customFormat="1" ht="13.8" hidden="1" outlineLevel="1" x14ac:dyDescent="0.25">
      <c r="A170" s="810" t="s">
        <v>738</v>
      </c>
      <c r="B170" s="810" t="s">
        <v>228</v>
      </c>
      <c r="C170" s="923"/>
      <c r="D170" s="923"/>
      <c r="E170" s="159"/>
      <c r="F170" s="215" t="s">
        <v>228</v>
      </c>
      <c r="G170" s="304">
        <v>72220.284964000006</v>
      </c>
      <c r="H170" s="304">
        <v>81475.476500000004</v>
      </c>
      <c r="I170" s="153">
        <f>H170-G170</f>
        <v>9255.1915359999985</v>
      </c>
      <c r="J170" s="878">
        <f t="shared" si="21"/>
        <v>0.12815224338443801</v>
      </c>
      <c r="K170" s="430" t="s">
        <v>1645</v>
      </c>
      <c r="L170" s="224"/>
      <c r="M170" s="1124"/>
      <c r="N170" s="410"/>
      <c r="O170" s="410"/>
      <c r="P170" s="41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row>
    <row r="171" spans="1:196" s="104" customFormat="1" ht="13.8" hidden="1" outlineLevel="1" x14ac:dyDescent="0.25">
      <c r="A171" s="810" t="s">
        <v>738</v>
      </c>
      <c r="B171" s="810" t="s">
        <v>554</v>
      </c>
      <c r="C171" s="923"/>
      <c r="D171" s="923"/>
      <c r="E171" s="214"/>
      <c r="F171" s="160" t="s">
        <v>198</v>
      </c>
      <c r="G171" s="304">
        <v>34355.32</v>
      </c>
      <c r="H171" s="304">
        <v>34712.81</v>
      </c>
      <c r="I171" s="153">
        <f>H171-G171</f>
        <v>357.48999999999796</v>
      </c>
      <c r="J171" s="878">
        <f t="shared" si="21"/>
        <v>1.0405666429536909E-2</v>
      </c>
      <c r="K171" s="428"/>
      <c r="L171" s="224"/>
      <c r="M171" s="1124"/>
      <c r="N171" s="410"/>
      <c r="O171" s="410"/>
      <c r="P171" s="410"/>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row>
    <row r="172" spans="1:196" s="104" customFormat="1" ht="13.8" hidden="1" outlineLevel="1" x14ac:dyDescent="0.25">
      <c r="A172" s="810" t="s">
        <v>738</v>
      </c>
      <c r="B172" s="810" t="s">
        <v>556</v>
      </c>
      <c r="C172" s="923"/>
      <c r="D172" s="923"/>
      <c r="E172" s="159"/>
      <c r="F172" s="160" t="s">
        <v>197</v>
      </c>
      <c r="G172" s="304">
        <v>0</v>
      </c>
      <c r="H172" s="304">
        <v>4950</v>
      </c>
      <c r="I172" s="153">
        <f>H172-G172</f>
        <v>4950</v>
      </c>
      <c r="J172" s="878" t="str">
        <f t="shared" si="21"/>
        <v>-</v>
      </c>
      <c r="K172" s="430" t="s">
        <v>1271</v>
      </c>
      <c r="L172" s="224"/>
      <c r="M172" s="1124"/>
      <c r="N172" s="410"/>
      <c r="O172" s="410"/>
      <c r="P172" s="410"/>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row>
    <row r="173" spans="1:196" s="525" customFormat="1" ht="13.8" hidden="1" outlineLevel="1" x14ac:dyDescent="0.25">
      <c r="A173" s="1415" t="s">
        <v>738</v>
      </c>
      <c r="B173" s="1415" t="s">
        <v>555</v>
      </c>
      <c r="C173" s="1416"/>
      <c r="D173" s="1416"/>
      <c r="E173" s="523"/>
      <c r="F173" s="520" t="s">
        <v>555</v>
      </c>
      <c r="G173" s="301">
        <v>0</v>
      </c>
      <c r="H173" s="505">
        <v>0</v>
      </c>
      <c r="I173" s="510">
        <f t="shared" ref="I173:I236" si="25">H173-G173</f>
        <v>0</v>
      </c>
      <c r="J173" s="876" t="str">
        <f t="shared" si="21"/>
        <v>-</v>
      </c>
      <c r="K173" s="526"/>
      <c r="L173" s="1417"/>
      <c r="M173" s="1122"/>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5"/>
      <c r="AL173" s="515"/>
      <c r="AM173" s="515"/>
      <c r="AN173" s="515"/>
      <c r="AO173" s="515"/>
      <c r="AP173" s="515"/>
      <c r="AQ173" s="515"/>
      <c r="AR173" s="515"/>
      <c r="AS173" s="515"/>
      <c r="AT173" s="515"/>
      <c r="AU173" s="515"/>
      <c r="AV173" s="515"/>
      <c r="AW173" s="515"/>
      <c r="AX173" s="515"/>
      <c r="AY173" s="515"/>
      <c r="AZ173" s="515"/>
      <c r="BA173" s="515"/>
      <c r="BB173" s="515"/>
      <c r="BC173" s="515"/>
      <c r="BD173" s="515"/>
      <c r="BE173" s="515"/>
      <c r="BF173" s="515"/>
      <c r="BG173" s="515"/>
      <c r="BH173" s="515"/>
      <c r="BI173" s="515"/>
      <c r="BJ173" s="515"/>
      <c r="BK173" s="515"/>
      <c r="BL173" s="515"/>
      <c r="BM173" s="515"/>
      <c r="BN173" s="515"/>
      <c r="BO173" s="515"/>
      <c r="BP173" s="515"/>
      <c r="BQ173" s="515"/>
      <c r="BR173" s="515"/>
      <c r="BS173" s="515"/>
      <c r="BT173" s="515"/>
      <c r="BU173" s="515"/>
      <c r="BV173" s="515"/>
      <c r="BW173" s="515"/>
      <c r="BX173" s="515"/>
      <c r="BY173" s="515"/>
      <c r="BZ173" s="515"/>
      <c r="CA173" s="515"/>
      <c r="CB173" s="515"/>
      <c r="CC173" s="515"/>
      <c r="CD173" s="515"/>
      <c r="CE173" s="515"/>
      <c r="CF173" s="515"/>
      <c r="CG173" s="515"/>
      <c r="CH173" s="515"/>
      <c r="CI173" s="515"/>
      <c r="CJ173" s="515"/>
      <c r="CK173" s="515"/>
      <c r="CL173" s="515"/>
      <c r="CM173" s="515"/>
      <c r="CN173" s="515"/>
      <c r="CO173" s="515"/>
      <c r="CP173" s="515"/>
      <c r="CQ173" s="515"/>
      <c r="CR173" s="515"/>
      <c r="CS173" s="515"/>
      <c r="CT173" s="515"/>
      <c r="CU173" s="515"/>
      <c r="CV173" s="515"/>
      <c r="CW173" s="515"/>
      <c r="CX173" s="515"/>
      <c r="CY173" s="515"/>
      <c r="CZ173" s="515"/>
      <c r="DA173" s="515"/>
      <c r="DB173" s="515"/>
      <c r="DC173" s="515"/>
      <c r="DD173" s="515"/>
      <c r="DE173" s="515"/>
      <c r="DF173" s="515"/>
      <c r="DG173" s="515"/>
      <c r="DH173" s="515"/>
      <c r="DI173" s="515"/>
      <c r="DJ173" s="515"/>
      <c r="DK173" s="515"/>
      <c r="DL173" s="515"/>
      <c r="DM173" s="515"/>
      <c r="DN173" s="515"/>
      <c r="DO173" s="515"/>
      <c r="DP173" s="515"/>
      <c r="DQ173" s="515"/>
      <c r="DR173" s="515"/>
      <c r="DS173" s="515"/>
      <c r="DT173" s="515"/>
      <c r="DU173" s="515"/>
      <c r="DV173" s="515"/>
      <c r="DW173" s="515"/>
      <c r="DX173" s="515"/>
      <c r="DY173" s="515"/>
      <c r="DZ173" s="515"/>
      <c r="EA173" s="515"/>
      <c r="EB173" s="515"/>
      <c r="EC173" s="515"/>
      <c r="ED173" s="515"/>
      <c r="EE173" s="515"/>
      <c r="EF173" s="515"/>
      <c r="EG173" s="515"/>
      <c r="EH173" s="515"/>
      <c r="EI173" s="515"/>
      <c r="EJ173" s="515"/>
      <c r="EK173" s="515"/>
      <c r="EL173" s="515"/>
      <c r="EM173" s="515"/>
      <c r="EN173" s="515"/>
      <c r="EO173" s="515"/>
      <c r="EP173" s="515"/>
      <c r="EQ173" s="515"/>
      <c r="ER173" s="515"/>
      <c r="ES173" s="515"/>
      <c r="ET173" s="515"/>
      <c r="EU173" s="515"/>
      <c r="EV173" s="515"/>
      <c r="EW173" s="515"/>
      <c r="EX173" s="515"/>
      <c r="EY173" s="515"/>
      <c r="EZ173" s="515"/>
      <c r="FA173" s="515"/>
      <c r="FB173" s="515"/>
      <c r="FC173" s="515"/>
      <c r="FD173" s="515"/>
      <c r="FE173" s="515"/>
      <c r="FF173" s="515"/>
      <c r="FG173" s="515"/>
      <c r="FH173" s="515"/>
      <c r="FI173" s="515"/>
      <c r="FJ173" s="515"/>
      <c r="FK173" s="515"/>
      <c r="FL173" s="515"/>
      <c r="FM173" s="515"/>
      <c r="FN173" s="515"/>
      <c r="FO173" s="515"/>
      <c r="FP173" s="515"/>
      <c r="FQ173" s="515"/>
      <c r="FR173" s="515"/>
      <c r="FS173" s="515"/>
      <c r="FT173" s="515"/>
      <c r="FU173" s="515"/>
      <c r="FV173" s="515"/>
      <c r="FW173" s="515"/>
      <c r="FX173" s="515"/>
      <c r="FY173" s="515"/>
      <c r="FZ173" s="515"/>
      <c r="GA173" s="515"/>
      <c r="GB173" s="515"/>
      <c r="GC173" s="515"/>
      <c r="GD173" s="515"/>
      <c r="GE173" s="515"/>
      <c r="GF173" s="515"/>
      <c r="GG173" s="515"/>
      <c r="GH173" s="515"/>
      <c r="GI173" s="515"/>
      <c r="GJ173" s="515"/>
      <c r="GK173" s="515"/>
      <c r="GL173" s="515"/>
      <c r="GM173" s="515"/>
      <c r="GN173" s="515"/>
    </row>
    <row r="174" spans="1:196" ht="13.8" collapsed="1" x14ac:dyDescent="0.25">
      <c r="C174" s="923">
        <v>53721</v>
      </c>
      <c r="D174" s="923">
        <f>C174-G174</f>
        <v>-2000</v>
      </c>
      <c r="E174" s="141" t="s">
        <v>87</v>
      </c>
      <c r="F174" s="142" t="s">
        <v>626</v>
      </c>
      <c r="G174" s="302">
        <v>55721</v>
      </c>
      <c r="H174" s="302">
        <v>62655.829250000003</v>
      </c>
      <c r="I174" s="132">
        <f t="shared" si="25"/>
        <v>6934.8292500000025</v>
      </c>
      <c r="J174" s="867">
        <f t="shared" si="21"/>
        <v>0.12445629565154973</v>
      </c>
      <c r="K174" s="418"/>
      <c r="L174" s="224"/>
      <c r="M174" s="1124"/>
      <c r="N174" s="410"/>
      <c r="O174" s="410"/>
      <c r="P174" s="410"/>
    </row>
    <row r="175" spans="1:196" s="104" customFormat="1" ht="13.8" hidden="1" outlineLevel="1" x14ac:dyDescent="0.25">
      <c r="A175" s="810" t="s">
        <v>742</v>
      </c>
      <c r="B175" s="810" t="s">
        <v>228</v>
      </c>
      <c r="C175" s="923"/>
      <c r="D175" s="923"/>
      <c r="E175" s="159"/>
      <c r="F175" s="215" t="s">
        <v>228</v>
      </c>
      <c r="G175" s="304">
        <v>45367</v>
      </c>
      <c r="H175" s="304">
        <v>48012.829250000003</v>
      </c>
      <c r="I175" s="153">
        <f t="shared" si="25"/>
        <v>2645.8292500000025</v>
      </c>
      <c r="J175" s="878">
        <f t="shared" si="21"/>
        <v>5.8320568915731757E-2</v>
      </c>
      <c r="K175" s="430" t="s">
        <v>1646</v>
      </c>
      <c r="L175" s="224"/>
      <c r="M175" s="1124"/>
      <c r="N175" s="410"/>
      <c r="O175" s="410"/>
      <c r="P175" s="410"/>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row>
    <row r="176" spans="1:196" s="104" customFormat="1" ht="13.8" hidden="1" outlineLevel="1" x14ac:dyDescent="0.25">
      <c r="A176" s="810" t="s">
        <v>742</v>
      </c>
      <c r="B176" s="810" t="s">
        <v>554</v>
      </c>
      <c r="C176" s="923"/>
      <c r="D176" s="923"/>
      <c r="E176" s="214"/>
      <c r="F176" s="160" t="s">
        <v>198</v>
      </c>
      <c r="G176" s="304">
        <v>10354</v>
      </c>
      <c r="H176" s="304">
        <v>12102</v>
      </c>
      <c r="I176" s="153">
        <f t="shared" si="25"/>
        <v>1748</v>
      </c>
      <c r="J176" s="878">
        <f t="shared" si="21"/>
        <v>0.16882364303650763</v>
      </c>
      <c r="K176" s="428"/>
      <c r="L176" s="224"/>
      <c r="M176" s="1124"/>
      <c r="N176" s="410"/>
      <c r="O176" s="410"/>
      <c r="P176" s="410"/>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row>
    <row r="177" spans="1:196" s="104" customFormat="1" ht="13.8" hidden="1" outlineLevel="1" x14ac:dyDescent="0.25">
      <c r="A177" s="810" t="s">
        <v>742</v>
      </c>
      <c r="B177" s="810" t="s">
        <v>556</v>
      </c>
      <c r="C177" s="923"/>
      <c r="D177" s="923"/>
      <c r="E177" s="159"/>
      <c r="F177" s="160" t="s">
        <v>197</v>
      </c>
      <c r="G177" s="304">
        <v>0</v>
      </c>
      <c r="H177" s="304">
        <v>2541</v>
      </c>
      <c r="I177" s="153">
        <f t="shared" si="25"/>
        <v>2541</v>
      </c>
      <c r="J177" s="878" t="str">
        <f t="shared" si="21"/>
        <v>-</v>
      </c>
      <c r="K177" s="430" t="s">
        <v>1272</v>
      </c>
      <c r="L177" s="224"/>
      <c r="M177" s="1124"/>
      <c r="N177" s="410"/>
      <c r="O177" s="410"/>
      <c r="P177" s="410"/>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row>
    <row r="178" spans="1:196" s="525" customFormat="1" ht="13.8" hidden="1" outlineLevel="1" x14ac:dyDescent="0.25">
      <c r="A178" s="1101" t="s">
        <v>742</v>
      </c>
      <c r="B178" s="1101" t="s">
        <v>555</v>
      </c>
      <c r="C178" s="1102"/>
      <c r="D178" s="1102"/>
      <c r="E178" s="523"/>
      <c r="F178" s="520" t="s">
        <v>555</v>
      </c>
      <c r="G178" s="304">
        <v>0</v>
      </c>
      <c r="H178" s="504">
        <v>0</v>
      </c>
      <c r="I178" s="510">
        <f>H178-G178</f>
        <v>0</v>
      </c>
      <c r="J178" s="876" t="str">
        <f t="shared" si="21"/>
        <v>-</v>
      </c>
      <c r="K178" s="526"/>
      <c r="L178" s="507"/>
      <c r="M178" s="1122"/>
      <c r="N178" s="515"/>
      <c r="O178" s="515"/>
      <c r="P178" s="515"/>
      <c r="Q178" s="515"/>
      <c r="R178" s="515"/>
      <c r="S178" s="515"/>
      <c r="T178" s="515"/>
      <c r="U178" s="515"/>
      <c r="V178" s="515"/>
      <c r="W178" s="515"/>
      <c r="X178" s="515"/>
      <c r="Y178" s="515"/>
      <c r="Z178" s="515"/>
      <c r="AA178" s="515"/>
      <c r="AB178" s="515"/>
      <c r="AC178" s="515"/>
      <c r="AD178" s="515"/>
      <c r="AE178" s="515"/>
      <c r="AF178" s="515"/>
      <c r="AG178" s="515"/>
      <c r="AH178" s="515"/>
      <c r="AI178" s="515"/>
      <c r="AJ178" s="515"/>
      <c r="AK178" s="515"/>
      <c r="AL178" s="515"/>
      <c r="AM178" s="515"/>
      <c r="AN178" s="515"/>
      <c r="AO178" s="515"/>
      <c r="AP178" s="515"/>
      <c r="AQ178" s="515"/>
      <c r="AR178" s="515"/>
      <c r="AS178" s="515"/>
      <c r="AT178" s="515"/>
      <c r="AU178" s="515"/>
      <c r="AV178" s="515"/>
      <c r="AW178" s="515"/>
      <c r="AX178" s="515"/>
      <c r="AY178" s="515"/>
      <c r="AZ178" s="515"/>
      <c r="BA178" s="515"/>
      <c r="BB178" s="515"/>
      <c r="BC178" s="515"/>
      <c r="BD178" s="515"/>
      <c r="BE178" s="515"/>
      <c r="BF178" s="515"/>
      <c r="BG178" s="515"/>
      <c r="BH178" s="515"/>
      <c r="BI178" s="515"/>
      <c r="BJ178" s="515"/>
      <c r="BK178" s="515"/>
      <c r="BL178" s="515"/>
      <c r="BM178" s="515"/>
      <c r="BN178" s="515"/>
      <c r="BO178" s="515"/>
      <c r="BP178" s="515"/>
      <c r="BQ178" s="515"/>
      <c r="BR178" s="515"/>
      <c r="BS178" s="515"/>
      <c r="BT178" s="515"/>
      <c r="BU178" s="515"/>
      <c r="BV178" s="515"/>
      <c r="BW178" s="515"/>
      <c r="BX178" s="515"/>
      <c r="BY178" s="515"/>
      <c r="BZ178" s="515"/>
      <c r="CA178" s="515"/>
      <c r="CB178" s="515"/>
      <c r="CC178" s="515"/>
      <c r="CD178" s="515"/>
      <c r="CE178" s="515"/>
      <c r="CF178" s="515"/>
      <c r="CG178" s="515"/>
      <c r="CH178" s="515"/>
      <c r="CI178" s="515"/>
      <c r="CJ178" s="515"/>
      <c r="CK178" s="515"/>
      <c r="CL178" s="515"/>
      <c r="CM178" s="515"/>
      <c r="CN178" s="515"/>
      <c r="CO178" s="515"/>
      <c r="CP178" s="515"/>
      <c r="CQ178" s="515"/>
      <c r="CR178" s="515"/>
      <c r="CS178" s="515"/>
      <c r="CT178" s="515"/>
      <c r="CU178" s="515"/>
      <c r="CV178" s="515"/>
      <c r="CW178" s="515"/>
      <c r="CX178" s="515"/>
      <c r="CY178" s="515"/>
      <c r="CZ178" s="515"/>
      <c r="DA178" s="515"/>
      <c r="DB178" s="515"/>
      <c r="DC178" s="515"/>
      <c r="DD178" s="515"/>
      <c r="DE178" s="515"/>
      <c r="DF178" s="515"/>
      <c r="DG178" s="515"/>
      <c r="DH178" s="515"/>
      <c r="DI178" s="515"/>
      <c r="DJ178" s="515"/>
      <c r="DK178" s="515"/>
      <c r="DL178" s="515"/>
      <c r="DM178" s="515"/>
      <c r="DN178" s="515"/>
      <c r="DO178" s="515"/>
      <c r="DP178" s="515"/>
      <c r="DQ178" s="515"/>
      <c r="DR178" s="515"/>
      <c r="DS178" s="515"/>
      <c r="DT178" s="515"/>
      <c r="DU178" s="515"/>
      <c r="DV178" s="515"/>
      <c r="DW178" s="515"/>
      <c r="DX178" s="515"/>
      <c r="DY178" s="515"/>
      <c r="DZ178" s="515"/>
      <c r="EA178" s="515"/>
      <c r="EB178" s="515"/>
      <c r="EC178" s="515"/>
      <c r="ED178" s="515"/>
      <c r="EE178" s="515"/>
      <c r="EF178" s="515"/>
      <c r="EG178" s="515"/>
      <c r="EH178" s="515"/>
      <c r="EI178" s="515"/>
      <c r="EJ178" s="515"/>
      <c r="EK178" s="515"/>
      <c r="EL178" s="515"/>
      <c r="EM178" s="515"/>
      <c r="EN178" s="515"/>
      <c r="EO178" s="515"/>
      <c r="EP178" s="515"/>
      <c r="EQ178" s="515"/>
      <c r="ER178" s="515"/>
      <c r="ES178" s="515"/>
      <c r="ET178" s="515"/>
      <c r="EU178" s="515"/>
      <c r="EV178" s="515"/>
      <c r="EW178" s="515"/>
      <c r="EX178" s="515"/>
      <c r="EY178" s="515"/>
      <c r="EZ178" s="515"/>
      <c r="FA178" s="515"/>
      <c r="FB178" s="515"/>
      <c r="FC178" s="515"/>
      <c r="FD178" s="515"/>
      <c r="FE178" s="515"/>
      <c r="FF178" s="515"/>
      <c r="FG178" s="515"/>
      <c r="FH178" s="515"/>
      <c r="FI178" s="515"/>
      <c r="FJ178" s="515"/>
      <c r="FK178" s="515"/>
      <c r="FL178" s="515"/>
      <c r="FM178" s="515"/>
      <c r="FN178" s="515"/>
      <c r="FO178" s="515"/>
      <c r="FP178" s="515"/>
      <c r="FQ178" s="515"/>
      <c r="FR178" s="515"/>
      <c r="FS178" s="515"/>
      <c r="FT178" s="515"/>
      <c r="FU178" s="515"/>
      <c r="FV178" s="515"/>
      <c r="FW178" s="515"/>
      <c r="FX178" s="515"/>
      <c r="FY178" s="515"/>
      <c r="FZ178" s="515"/>
      <c r="GA178" s="515"/>
      <c r="GB178" s="515"/>
      <c r="GC178" s="515"/>
      <c r="GD178" s="515"/>
      <c r="GE178" s="515"/>
      <c r="GF178" s="515"/>
      <c r="GG178" s="515"/>
      <c r="GH178" s="515"/>
      <c r="GI178" s="515"/>
      <c r="GJ178" s="515"/>
      <c r="GK178" s="515"/>
      <c r="GL178" s="515"/>
      <c r="GM178" s="515"/>
      <c r="GN178" s="515"/>
    </row>
    <row r="179" spans="1:196" ht="13.8" collapsed="1" x14ac:dyDescent="0.25">
      <c r="C179" s="923">
        <f>740005-G184-G183</f>
        <v>507912</v>
      </c>
      <c r="D179" s="923">
        <f>C179-G179</f>
        <v>-5340.4873019999359</v>
      </c>
      <c r="E179" s="141" t="s">
        <v>624</v>
      </c>
      <c r="F179" s="142" t="s">
        <v>210</v>
      </c>
      <c r="G179" s="302">
        <v>513252.48730199994</v>
      </c>
      <c r="H179" s="302">
        <v>599436.75136999995</v>
      </c>
      <c r="I179" s="132">
        <f t="shared" si="25"/>
        <v>86184.264068000019</v>
      </c>
      <c r="J179" s="867">
        <f t="shared" si="21"/>
        <v>0.16791786927530042</v>
      </c>
      <c r="K179" s="418"/>
      <c r="L179" s="224"/>
      <c r="M179" s="1124"/>
      <c r="N179" s="410"/>
      <c r="O179" s="410"/>
      <c r="P179" s="410"/>
    </row>
    <row r="180" spans="1:196" s="104" customFormat="1" ht="13.8" hidden="1" outlineLevel="1" x14ac:dyDescent="0.25">
      <c r="A180" s="810" t="s">
        <v>778</v>
      </c>
      <c r="B180" s="810" t="s">
        <v>228</v>
      </c>
      <c r="C180" s="923">
        <v>292716</v>
      </c>
      <c r="D180" s="923"/>
      <c r="E180" s="159"/>
      <c r="F180" s="215" t="s">
        <v>228</v>
      </c>
      <c r="G180" s="296">
        <v>292716.18730199995</v>
      </c>
      <c r="H180" s="304">
        <v>322062.16136999999</v>
      </c>
      <c r="I180" s="225">
        <f t="shared" si="25"/>
        <v>29345.97406800004</v>
      </c>
      <c r="J180" s="888">
        <f t="shared" si="21"/>
        <v>0.10025401853749663</v>
      </c>
      <c r="K180" s="1019"/>
      <c r="L180" s="224"/>
      <c r="M180" s="1124"/>
      <c r="N180" s="410"/>
      <c r="O180" s="410"/>
      <c r="P180" s="41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row>
    <row r="181" spans="1:196" s="104" customFormat="1" ht="82.8" hidden="1" outlineLevel="1" x14ac:dyDescent="0.25">
      <c r="A181" s="810" t="s">
        <v>778</v>
      </c>
      <c r="B181" s="810" t="s">
        <v>554</v>
      </c>
      <c r="C181" s="923"/>
      <c r="D181" s="923"/>
      <c r="E181" s="214"/>
      <c r="F181" s="215" t="s">
        <v>198</v>
      </c>
      <c r="G181" s="296">
        <v>214372.3</v>
      </c>
      <c r="H181" s="304">
        <v>266074.58999999997</v>
      </c>
      <c r="I181" s="153">
        <f t="shared" si="25"/>
        <v>51702.289999999979</v>
      </c>
      <c r="J181" s="878">
        <f t="shared" si="21"/>
        <v>0.24117990057484098</v>
      </c>
      <c r="K181" s="421" t="s">
        <v>1614</v>
      </c>
      <c r="L181" s="224"/>
      <c r="M181" s="1124"/>
      <c r="N181" s="410"/>
      <c r="O181" s="410"/>
      <c r="P181" s="410"/>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row>
    <row r="182" spans="1:196" s="104" customFormat="1" ht="13.8" hidden="1" outlineLevel="1" x14ac:dyDescent="0.25">
      <c r="A182" s="810" t="s">
        <v>778</v>
      </c>
      <c r="B182" s="810" t="s">
        <v>556</v>
      </c>
      <c r="C182" s="923"/>
      <c r="D182" s="923"/>
      <c r="E182" s="159"/>
      <c r="F182" s="160" t="s">
        <v>197</v>
      </c>
      <c r="G182" s="296">
        <v>6164</v>
      </c>
      <c r="H182" s="304">
        <v>11300</v>
      </c>
      <c r="I182" s="161">
        <f t="shared" si="25"/>
        <v>5136</v>
      </c>
      <c r="J182" s="884">
        <f t="shared" si="21"/>
        <v>0.83322517845554833</v>
      </c>
      <c r="K182" s="430"/>
      <c r="L182" s="224"/>
      <c r="M182" s="1124"/>
      <c r="N182" s="410"/>
      <c r="O182" s="410"/>
      <c r="P182" s="410"/>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row>
    <row r="183" spans="1:196" s="104" customFormat="1" ht="13.8" hidden="1" outlineLevel="1" x14ac:dyDescent="0.25">
      <c r="A183" s="810" t="s">
        <v>778</v>
      </c>
      <c r="B183" s="810" t="s">
        <v>608</v>
      </c>
      <c r="C183" s="923"/>
      <c r="D183" s="923"/>
      <c r="E183" s="214"/>
      <c r="F183" s="1149" t="s">
        <v>354</v>
      </c>
      <c r="G183" s="296">
        <v>34247</v>
      </c>
      <c r="H183" s="296">
        <v>59690</v>
      </c>
      <c r="I183" s="154">
        <f t="shared" ref="I183" si="26">H183-G183</f>
        <v>25443</v>
      </c>
      <c r="J183" s="1148">
        <f t="shared" si="21"/>
        <v>0.7429263877127924</v>
      </c>
      <c r="K183" s="435"/>
      <c r="L183" s="224"/>
      <c r="M183" s="1124"/>
      <c r="N183" s="410"/>
      <c r="O183" s="410"/>
      <c r="P183" s="410"/>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row>
    <row r="184" spans="1:196" s="525" customFormat="1" ht="13.8" hidden="1" outlineLevel="1" x14ac:dyDescent="0.25">
      <c r="A184" s="1415" t="s">
        <v>778</v>
      </c>
      <c r="B184" s="1415" t="s">
        <v>555</v>
      </c>
      <c r="C184" s="1416"/>
      <c r="D184" s="1416"/>
      <c r="E184" s="523"/>
      <c r="F184" s="520" t="s">
        <v>555</v>
      </c>
      <c r="G184" s="505">
        <v>197846</v>
      </c>
      <c r="H184" s="505">
        <v>150241.95000000001</v>
      </c>
      <c r="I184" s="510">
        <f t="shared" si="25"/>
        <v>-47604.049999999988</v>
      </c>
      <c r="J184" s="876">
        <f t="shared" si="21"/>
        <v>-0.24061163733408808</v>
      </c>
      <c r="K184" s="526"/>
      <c r="L184" s="1417"/>
      <c r="M184" s="1122"/>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5"/>
      <c r="AK184" s="515"/>
      <c r="AL184" s="515"/>
      <c r="AM184" s="515"/>
      <c r="AN184" s="515"/>
      <c r="AO184" s="515"/>
      <c r="AP184" s="515"/>
      <c r="AQ184" s="515"/>
      <c r="AR184" s="515"/>
      <c r="AS184" s="515"/>
      <c r="AT184" s="515"/>
      <c r="AU184" s="515"/>
      <c r="AV184" s="515"/>
      <c r="AW184" s="515"/>
      <c r="AX184" s="515"/>
      <c r="AY184" s="515"/>
      <c r="AZ184" s="515"/>
      <c r="BA184" s="515"/>
      <c r="BB184" s="515"/>
      <c r="BC184" s="515"/>
      <c r="BD184" s="515"/>
      <c r="BE184" s="515"/>
      <c r="BF184" s="515"/>
      <c r="BG184" s="515"/>
      <c r="BH184" s="515"/>
      <c r="BI184" s="515"/>
      <c r="BJ184" s="515"/>
      <c r="BK184" s="515"/>
      <c r="BL184" s="515"/>
      <c r="BM184" s="515"/>
      <c r="BN184" s="515"/>
      <c r="BO184" s="515"/>
      <c r="BP184" s="515"/>
      <c r="BQ184" s="515"/>
      <c r="BR184" s="515"/>
      <c r="BS184" s="515"/>
      <c r="BT184" s="515"/>
      <c r="BU184" s="515"/>
      <c r="BV184" s="515"/>
      <c r="BW184" s="515"/>
      <c r="BX184" s="515"/>
      <c r="BY184" s="515"/>
      <c r="BZ184" s="515"/>
      <c r="CA184" s="515"/>
      <c r="CB184" s="515"/>
      <c r="CC184" s="515"/>
      <c r="CD184" s="515"/>
      <c r="CE184" s="515"/>
      <c r="CF184" s="515"/>
      <c r="CG184" s="515"/>
      <c r="CH184" s="515"/>
      <c r="CI184" s="515"/>
      <c r="CJ184" s="515"/>
      <c r="CK184" s="515"/>
      <c r="CL184" s="515"/>
      <c r="CM184" s="515"/>
      <c r="CN184" s="515"/>
      <c r="CO184" s="515"/>
      <c r="CP184" s="515"/>
      <c r="CQ184" s="515"/>
      <c r="CR184" s="515"/>
      <c r="CS184" s="515"/>
      <c r="CT184" s="515"/>
      <c r="CU184" s="515"/>
      <c r="CV184" s="515"/>
      <c r="CW184" s="515"/>
      <c r="CX184" s="515"/>
      <c r="CY184" s="515"/>
      <c r="CZ184" s="515"/>
      <c r="DA184" s="515"/>
      <c r="DB184" s="515"/>
      <c r="DC184" s="515"/>
      <c r="DD184" s="515"/>
      <c r="DE184" s="515"/>
      <c r="DF184" s="515"/>
      <c r="DG184" s="515"/>
      <c r="DH184" s="515"/>
      <c r="DI184" s="515"/>
      <c r="DJ184" s="515"/>
      <c r="DK184" s="515"/>
      <c r="DL184" s="515"/>
      <c r="DM184" s="515"/>
      <c r="DN184" s="515"/>
      <c r="DO184" s="515"/>
      <c r="DP184" s="515"/>
      <c r="DQ184" s="515"/>
      <c r="DR184" s="515"/>
      <c r="DS184" s="515"/>
      <c r="DT184" s="515"/>
      <c r="DU184" s="515"/>
      <c r="DV184" s="515"/>
      <c r="DW184" s="515"/>
      <c r="DX184" s="515"/>
      <c r="DY184" s="515"/>
      <c r="DZ184" s="515"/>
      <c r="EA184" s="515"/>
      <c r="EB184" s="515"/>
      <c r="EC184" s="515"/>
      <c r="ED184" s="515"/>
      <c r="EE184" s="515"/>
      <c r="EF184" s="515"/>
      <c r="EG184" s="515"/>
      <c r="EH184" s="515"/>
      <c r="EI184" s="515"/>
      <c r="EJ184" s="515"/>
      <c r="EK184" s="515"/>
      <c r="EL184" s="515"/>
      <c r="EM184" s="515"/>
      <c r="EN184" s="515"/>
      <c r="EO184" s="515"/>
      <c r="EP184" s="515"/>
      <c r="EQ184" s="515"/>
      <c r="ER184" s="515"/>
      <c r="ES184" s="515"/>
      <c r="ET184" s="515"/>
      <c r="EU184" s="515"/>
      <c r="EV184" s="515"/>
      <c r="EW184" s="515"/>
      <c r="EX184" s="515"/>
      <c r="EY184" s="515"/>
      <c r="EZ184" s="515"/>
      <c r="FA184" s="515"/>
      <c r="FB184" s="515"/>
      <c r="FC184" s="515"/>
      <c r="FD184" s="515"/>
      <c r="FE184" s="515"/>
      <c r="FF184" s="515"/>
      <c r="FG184" s="515"/>
      <c r="FH184" s="515"/>
      <c r="FI184" s="515"/>
      <c r="FJ184" s="515"/>
      <c r="FK184" s="515"/>
      <c r="FL184" s="515"/>
      <c r="FM184" s="515"/>
      <c r="FN184" s="515"/>
      <c r="FO184" s="515"/>
      <c r="FP184" s="515"/>
      <c r="FQ184" s="515"/>
      <c r="FR184" s="515"/>
      <c r="FS184" s="515"/>
      <c r="FT184" s="515"/>
      <c r="FU184" s="515"/>
      <c r="FV184" s="515"/>
      <c r="FW184" s="515"/>
      <c r="FX184" s="515"/>
      <c r="FY184" s="515"/>
      <c r="FZ184" s="515"/>
      <c r="GA184" s="515"/>
      <c r="GB184" s="515"/>
      <c r="GC184" s="515"/>
      <c r="GD184" s="515"/>
      <c r="GE184" s="515"/>
      <c r="GF184" s="515"/>
      <c r="GG184" s="515"/>
      <c r="GH184" s="515"/>
      <c r="GI184" s="515"/>
      <c r="GJ184" s="515"/>
      <c r="GK184" s="515"/>
      <c r="GL184" s="515"/>
      <c r="GM184" s="515"/>
      <c r="GN184" s="515"/>
    </row>
    <row r="185" spans="1:196" s="525" customFormat="1" ht="13.8" hidden="1" outlineLevel="1" x14ac:dyDescent="0.25">
      <c r="A185" s="1415" t="s">
        <v>778</v>
      </c>
      <c r="B185" s="1415" t="s">
        <v>192</v>
      </c>
      <c r="C185" s="1416"/>
      <c r="D185" s="1416"/>
      <c r="E185" s="528"/>
      <c r="F185" s="1429" t="s">
        <v>192</v>
      </c>
      <c r="G185" s="505">
        <v>0</v>
      </c>
      <c r="H185" s="505">
        <v>0</v>
      </c>
      <c r="I185" s="529"/>
      <c r="J185" s="886" t="str">
        <f t="shared" si="21"/>
        <v>-</v>
      </c>
      <c r="K185" s="1418"/>
      <c r="L185" s="1417"/>
      <c r="M185" s="1122"/>
      <c r="N185" s="515"/>
      <c r="O185" s="515"/>
      <c r="P185" s="515"/>
      <c r="Q185" s="515"/>
      <c r="R185" s="515"/>
      <c r="S185" s="515"/>
      <c r="T185" s="515"/>
      <c r="U185" s="515"/>
      <c r="V185" s="515"/>
      <c r="W185" s="515"/>
      <c r="X185" s="515"/>
      <c r="Y185" s="515"/>
      <c r="Z185" s="515"/>
      <c r="AA185" s="515"/>
      <c r="AB185" s="515"/>
      <c r="AC185" s="515"/>
      <c r="AD185" s="515"/>
      <c r="AE185" s="515"/>
      <c r="AF185" s="515"/>
      <c r="AG185" s="515"/>
      <c r="AH185" s="515"/>
      <c r="AI185" s="515"/>
      <c r="AJ185" s="515"/>
      <c r="AK185" s="515"/>
      <c r="AL185" s="515"/>
      <c r="AM185" s="515"/>
      <c r="AN185" s="515"/>
      <c r="AO185" s="515"/>
      <c r="AP185" s="515"/>
      <c r="AQ185" s="515"/>
      <c r="AR185" s="515"/>
      <c r="AS185" s="515"/>
      <c r="AT185" s="515"/>
      <c r="AU185" s="515"/>
      <c r="AV185" s="515"/>
      <c r="AW185" s="515"/>
      <c r="AX185" s="515"/>
      <c r="AY185" s="515"/>
      <c r="AZ185" s="515"/>
      <c r="BA185" s="515"/>
      <c r="BB185" s="515"/>
      <c r="BC185" s="515"/>
      <c r="BD185" s="515"/>
      <c r="BE185" s="515"/>
      <c r="BF185" s="515"/>
      <c r="BG185" s="515"/>
      <c r="BH185" s="515"/>
      <c r="BI185" s="515"/>
      <c r="BJ185" s="515"/>
      <c r="BK185" s="515"/>
      <c r="BL185" s="515"/>
      <c r="BM185" s="515"/>
      <c r="BN185" s="515"/>
      <c r="BO185" s="515"/>
      <c r="BP185" s="515"/>
      <c r="BQ185" s="515"/>
      <c r="BR185" s="515"/>
      <c r="BS185" s="515"/>
      <c r="BT185" s="515"/>
      <c r="BU185" s="515"/>
      <c r="BV185" s="515"/>
      <c r="BW185" s="515"/>
      <c r="BX185" s="515"/>
      <c r="BY185" s="515"/>
      <c r="BZ185" s="515"/>
      <c r="CA185" s="515"/>
      <c r="CB185" s="515"/>
      <c r="CC185" s="515"/>
      <c r="CD185" s="515"/>
      <c r="CE185" s="515"/>
      <c r="CF185" s="515"/>
      <c r="CG185" s="515"/>
      <c r="CH185" s="515"/>
      <c r="CI185" s="515"/>
      <c r="CJ185" s="515"/>
      <c r="CK185" s="515"/>
      <c r="CL185" s="515"/>
      <c r="CM185" s="515"/>
      <c r="CN185" s="515"/>
      <c r="CO185" s="515"/>
      <c r="CP185" s="515"/>
      <c r="CQ185" s="515"/>
      <c r="CR185" s="515"/>
      <c r="CS185" s="515"/>
      <c r="CT185" s="515"/>
      <c r="CU185" s="515"/>
      <c r="CV185" s="515"/>
      <c r="CW185" s="515"/>
      <c r="CX185" s="515"/>
      <c r="CY185" s="515"/>
      <c r="CZ185" s="515"/>
      <c r="DA185" s="515"/>
      <c r="DB185" s="515"/>
      <c r="DC185" s="515"/>
      <c r="DD185" s="515"/>
      <c r="DE185" s="515"/>
      <c r="DF185" s="515"/>
      <c r="DG185" s="515"/>
      <c r="DH185" s="515"/>
      <c r="DI185" s="515"/>
      <c r="DJ185" s="515"/>
      <c r="DK185" s="515"/>
      <c r="DL185" s="515"/>
      <c r="DM185" s="515"/>
      <c r="DN185" s="515"/>
      <c r="DO185" s="515"/>
      <c r="DP185" s="515"/>
      <c r="DQ185" s="515"/>
      <c r="DR185" s="515"/>
      <c r="DS185" s="515"/>
      <c r="DT185" s="515"/>
      <c r="DU185" s="515"/>
      <c r="DV185" s="515"/>
      <c r="DW185" s="515"/>
      <c r="DX185" s="515"/>
      <c r="DY185" s="515"/>
      <c r="DZ185" s="515"/>
      <c r="EA185" s="515"/>
      <c r="EB185" s="515"/>
      <c r="EC185" s="515"/>
      <c r="ED185" s="515"/>
      <c r="EE185" s="515"/>
      <c r="EF185" s="515"/>
      <c r="EG185" s="515"/>
      <c r="EH185" s="515"/>
      <c r="EI185" s="515"/>
      <c r="EJ185" s="515"/>
      <c r="EK185" s="515"/>
      <c r="EL185" s="515"/>
      <c r="EM185" s="515"/>
      <c r="EN185" s="515"/>
      <c r="EO185" s="515"/>
      <c r="EP185" s="515"/>
      <c r="EQ185" s="515"/>
      <c r="ER185" s="515"/>
      <c r="ES185" s="515"/>
      <c r="ET185" s="515"/>
      <c r="EU185" s="515"/>
      <c r="EV185" s="515"/>
      <c r="EW185" s="515"/>
      <c r="EX185" s="515"/>
      <c r="EY185" s="515"/>
      <c r="EZ185" s="515"/>
      <c r="FA185" s="515"/>
      <c r="FB185" s="515"/>
      <c r="FC185" s="515"/>
      <c r="FD185" s="515"/>
      <c r="FE185" s="515"/>
      <c r="FF185" s="515"/>
      <c r="FG185" s="515"/>
      <c r="FH185" s="515"/>
      <c r="FI185" s="515"/>
      <c r="FJ185" s="515"/>
      <c r="FK185" s="515"/>
      <c r="FL185" s="515"/>
      <c r="FM185" s="515"/>
      <c r="FN185" s="515"/>
      <c r="FO185" s="515"/>
      <c r="FP185" s="515"/>
      <c r="FQ185" s="515"/>
      <c r="FR185" s="515"/>
      <c r="FS185" s="515"/>
      <c r="FT185" s="515"/>
      <c r="FU185" s="515"/>
      <c r="FV185" s="515"/>
      <c r="FW185" s="515"/>
      <c r="FX185" s="515"/>
      <c r="FY185" s="515"/>
      <c r="FZ185" s="515"/>
      <c r="GA185" s="515"/>
      <c r="GB185" s="515"/>
      <c r="GC185" s="515"/>
      <c r="GD185" s="515"/>
      <c r="GE185" s="515"/>
      <c r="GF185" s="515"/>
      <c r="GG185" s="515"/>
      <c r="GH185" s="515"/>
      <c r="GI185" s="515"/>
      <c r="GJ185" s="515"/>
      <c r="GK185" s="515"/>
      <c r="GL185" s="515"/>
      <c r="GM185" s="515"/>
      <c r="GN185" s="515"/>
    </row>
    <row r="186" spans="1:196" ht="13.8" collapsed="1" x14ac:dyDescent="0.25">
      <c r="E186" s="141" t="s">
        <v>208</v>
      </c>
      <c r="F186" s="142" t="s">
        <v>92</v>
      </c>
      <c r="G186" s="479"/>
      <c r="H186" s="132"/>
      <c r="I186" s="148">
        <f t="shared" si="25"/>
        <v>0</v>
      </c>
      <c r="J186" s="889" t="str">
        <f t="shared" si="21"/>
        <v>-</v>
      </c>
      <c r="K186" s="434"/>
      <c r="L186" s="224"/>
      <c r="M186" s="1124"/>
      <c r="N186" s="410"/>
      <c r="O186" s="410"/>
      <c r="P186" s="410"/>
    </row>
    <row r="187" spans="1:196" s="216" customFormat="1" ht="13.8" hidden="1" outlineLevel="1" x14ac:dyDescent="0.25">
      <c r="A187" s="810" t="s">
        <v>758</v>
      </c>
      <c r="B187" s="810" t="s">
        <v>555</v>
      </c>
      <c r="C187" s="923"/>
      <c r="D187" s="923"/>
      <c r="E187" s="162"/>
      <c r="F187" s="163" t="s">
        <v>555</v>
      </c>
      <c r="G187" s="296">
        <v>4000</v>
      </c>
      <c r="H187" s="304">
        <v>4000</v>
      </c>
      <c r="I187" s="320">
        <f>H187-G187</f>
        <v>0</v>
      </c>
      <c r="J187" s="885">
        <f t="shared" si="21"/>
        <v>0</v>
      </c>
      <c r="K187" s="430"/>
      <c r="L187" s="224"/>
      <c r="M187" s="1124"/>
      <c r="N187" s="410"/>
      <c r="O187" s="410"/>
      <c r="P187" s="410"/>
      <c r="Q187" s="223"/>
      <c r="R187" s="223"/>
      <c r="S187" s="223"/>
      <c r="T187" s="223"/>
      <c r="U187" s="223"/>
      <c r="V187" s="223"/>
      <c r="W187" s="223"/>
      <c r="X187" s="223"/>
      <c r="Y187" s="223"/>
      <c r="Z187" s="223"/>
      <c r="AA187" s="223"/>
      <c r="AB187" s="223"/>
      <c r="AC187" s="223"/>
      <c r="AD187" s="223"/>
      <c r="AE187" s="223"/>
      <c r="AF187" s="223"/>
      <c r="AG187" s="223"/>
      <c r="AH187" s="223"/>
      <c r="AI187" s="223"/>
      <c r="AJ187" s="223"/>
      <c r="AK187" s="223"/>
      <c r="AL187" s="223"/>
      <c r="AM187" s="223"/>
      <c r="AN187" s="223"/>
      <c r="AO187" s="223"/>
      <c r="AP187" s="223"/>
      <c r="AQ187" s="223"/>
      <c r="AR187" s="223"/>
      <c r="AS187" s="223"/>
      <c r="AT187" s="223"/>
      <c r="AU187" s="223"/>
      <c r="AV187" s="223"/>
      <c r="AW187" s="223"/>
      <c r="AX187" s="223"/>
      <c r="AY187" s="223"/>
      <c r="AZ187" s="223"/>
      <c r="BA187" s="223"/>
      <c r="BB187" s="223"/>
      <c r="BC187" s="223"/>
      <c r="BD187" s="223"/>
      <c r="BE187" s="223"/>
      <c r="BF187" s="223"/>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223"/>
      <c r="DK187" s="223"/>
      <c r="DL187" s="223"/>
      <c r="DM187" s="223"/>
      <c r="DN187" s="223"/>
      <c r="DO187" s="223"/>
      <c r="DP187" s="223"/>
      <c r="DQ187" s="223"/>
      <c r="DR187" s="223"/>
      <c r="DS187" s="223"/>
      <c r="DT187" s="223"/>
      <c r="DU187" s="223"/>
      <c r="DV187" s="223"/>
      <c r="DW187" s="223"/>
      <c r="DX187" s="223"/>
      <c r="DY187" s="223"/>
      <c r="DZ187" s="223"/>
      <c r="EA187" s="223"/>
      <c r="EB187" s="223"/>
      <c r="EC187" s="223"/>
      <c r="ED187" s="223"/>
      <c r="EE187" s="223"/>
      <c r="EF187" s="223"/>
      <c r="EG187" s="223"/>
      <c r="EH187" s="223"/>
      <c r="EI187" s="223"/>
      <c r="EJ187" s="223"/>
      <c r="EK187" s="223"/>
      <c r="EL187" s="223"/>
      <c r="EM187" s="223"/>
      <c r="EN187" s="223"/>
      <c r="EO187" s="223"/>
      <c r="EP187" s="223"/>
      <c r="EQ187" s="223"/>
      <c r="ER187" s="223"/>
      <c r="ES187" s="223"/>
      <c r="ET187" s="223"/>
      <c r="EU187" s="223"/>
      <c r="EV187" s="223"/>
      <c r="EW187" s="223"/>
      <c r="EX187" s="223"/>
      <c r="EY187" s="223"/>
      <c r="EZ187" s="223"/>
      <c r="FA187" s="223"/>
      <c r="FB187" s="223"/>
      <c r="FC187" s="223"/>
      <c r="FD187" s="223"/>
      <c r="FE187" s="223"/>
      <c r="FF187" s="223"/>
      <c r="FG187" s="223"/>
      <c r="FH187" s="223"/>
      <c r="FI187" s="223"/>
      <c r="FJ187" s="223"/>
      <c r="FK187" s="223"/>
      <c r="FL187" s="223"/>
      <c r="FM187" s="223"/>
      <c r="FN187" s="223"/>
      <c r="FO187" s="223"/>
      <c r="FP187" s="223"/>
      <c r="FQ187" s="223"/>
      <c r="FR187" s="223"/>
      <c r="FS187" s="223"/>
      <c r="FT187" s="223"/>
      <c r="FU187" s="223"/>
      <c r="FV187" s="223"/>
      <c r="FW187" s="223"/>
      <c r="FX187" s="223"/>
      <c r="FY187" s="223"/>
      <c r="FZ187" s="223"/>
      <c r="GA187" s="223"/>
      <c r="GB187" s="223"/>
      <c r="GC187" s="223"/>
      <c r="GD187" s="223"/>
      <c r="GE187" s="223"/>
      <c r="GF187" s="223"/>
      <c r="GG187" s="223"/>
      <c r="GH187" s="223"/>
      <c r="GI187" s="223"/>
      <c r="GJ187" s="223"/>
      <c r="GK187" s="223"/>
      <c r="GL187" s="223"/>
      <c r="GM187" s="223"/>
      <c r="GN187" s="223"/>
    </row>
    <row r="188" spans="1:196" ht="27.6" collapsed="1" x14ac:dyDescent="0.25">
      <c r="C188" s="923">
        <f>146079-G192</f>
        <v>146079</v>
      </c>
      <c r="D188" s="923">
        <f>C188-G188</f>
        <v>1999.5874000000185</v>
      </c>
      <c r="E188" s="141" t="s">
        <v>209</v>
      </c>
      <c r="F188" s="142" t="s">
        <v>627</v>
      </c>
      <c r="G188" s="302">
        <v>144079.41259999998</v>
      </c>
      <c r="H188" s="302">
        <v>185866.50440000001</v>
      </c>
      <c r="I188" s="132">
        <f t="shared" si="25"/>
        <v>41787.091800000024</v>
      </c>
      <c r="J188" s="867">
        <f t="shared" si="21"/>
        <v>0.29002819379900796</v>
      </c>
      <c r="K188" s="418"/>
      <c r="L188" s="224"/>
      <c r="M188" s="1124"/>
      <c r="N188" s="410"/>
      <c r="O188" s="410"/>
      <c r="P188" s="410"/>
    </row>
    <row r="189" spans="1:196" s="104" customFormat="1" ht="27.6" hidden="1" outlineLevel="1" x14ac:dyDescent="0.25">
      <c r="A189" s="810" t="s">
        <v>763</v>
      </c>
      <c r="B189" s="810" t="s">
        <v>228</v>
      </c>
      <c r="C189" s="923"/>
      <c r="D189" s="923"/>
      <c r="E189" s="159"/>
      <c r="F189" s="215" t="s">
        <v>228</v>
      </c>
      <c r="G189" s="304">
        <v>96473.412599999996</v>
      </c>
      <c r="H189" s="304">
        <v>117209.50440000001</v>
      </c>
      <c r="I189" s="153">
        <f t="shared" si="25"/>
        <v>20736.091800000009</v>
      </c>
      <c r="J189" s="878">
        <f t="shared" si="21"/>
        <v>0.21494100023160173</v>
      </c>
      <c r="K189" s="456" t="s">
        <v>1342</v>
      </c>
      <c r="L189" s="224"/>
      <c r="M189" s="1124"/>
      <c r="N189" s="410"/>
      <c r="O189" s="410"/>
      <c r="P189" s="410"/>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row>
    <row r="190" spans="1:196" s="104" customFormat="1" ht="41.4" hidden="1" outlineLevel="1" x14ac:dyDescent="0.25">
      <c r="A190" s="810" t="s">
        <v>763</v>
      </c>
      <c r="B190" s="810" t="s">
        <v>554</v>
      </c>
      <c r="C190" s="923"/>
      <c r="D190" s="923"/>
      <c r="E190" s="214"/>
      <c r="F190" s="215" t="s">
        <v>198</v>
      </c>
      <c r="G190" s="304">
        <v>34885</v>
      </c>
      <c r="H190" s="304">
        <v>60282</v>
      </c>
      <c r="I190" s="153">
        <f t="shared" si="25"/>
        <v>25397</v>
      </c>
      <c r="J190" s="878">
        <f t="shared" si="21"/>
        <v>0.7280206392432278</v>
      </c>
      <c r="K190" s="436" t="s">
        <v>1615</v>
      </c>
      <c r="L190" s="224"/>
      <c r="M190" s="1124"/>
      <c r="N190" s="410"/>
      <c r="O190" s="410"/>
      <c r="P190" s="41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row>
    <row r="191" spans="1:196" s="104" customFormat="1" ht="13.8" hidden="1" outlineLevel="1" x14ac:dyDescent="0.25">
      <c r="A191" s="810" t="s">
        <v>763</v>
      </c>
      <c r="B191" s="810" t="s">
        <v>556</v>
      </c>
      <c r="C191" s="923"/>
      <c r="D191" s="923"/>
      <c r="E191" s="159"/>
      <c r="F191" s="160" t="s">
        <v>197</v>
      </c>
      <c r="G191" s="304">
        <v>12721</v>
      </c>
      <c r="H191" s="304">
        <v>8375</v>
      </c>
      <c r="I191" s="153">
        <f t="shared" si="25"/>
        <v>-4346</v>
      </c>
      <c r="J191" s="878">
        <f t="shared" si="21"/>
        <v>-0.34163980819117995</v>
      </c>
      <c r="K191" s="430"/>
      <c r="L191" s="224"/>
      <c r="M191" s="1124"/>
      <c r="N191" s="410"/>
      <c r="O191" s="410"/>
      <c r="P191" s="410"/>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row>
    <row r="192" spans="1:196" s="525" customFormat="1" ht="13.8" hidden="1" outlineLevel="1" x14ac:dyDescent="0.25">
      <c r="A192" s="1415" t="s">
        <v>763</v>
      </c>
      <c r="B192" s="1415" t="s">
        <v>555</v>
      </c>
      <c r="C192" s="1416"/>
      <c r="D192" s="1416"/>
      <c r="E192" s="523"/>
      <c r="F192" s="520" t="s">
        <v>555</v>
      </c>
      <c r="G192" s="505">
        <v>0</v>
      </c>
      <c r="H192" s="505">
        <v>0</v>
      </c>
      <c r="I192" s="510">
        <f t="shared" si="25"/>
        <v>0</v>
      </c>
      <c r="J192" s="876" t="str">
        <f t="shared" si="21"/>
        <v>-</v>
      </c>
      <c r="K192" s="526">
        <f>G192*$K$103</f>
        <v>0</v>
      </c>
      <c r="L192" s="1417"/>
      <c r="M192" s="1122"/>
      <c r="N192" s="515"/>
      <c r="O192" s="515"/>
      <c r="P192" s="515"/>
      <c r="Q192" s="515"/>
      <c r="R192" s="515"/>
      <c r="S192" s="515"/>
      <c r="T192" s="515"/>
      <c r="U192" s="515"/>
      <c r="V192" s="515"/>
      <c r="W192" s="515"/>
      <c r="X192" s="515"/>
      <c r="Y192" s="515"/>
      <c r="Z192" s="515"/>
      <c r="AA192" s="515"/>
      <c r="AB192" s="515"/>
      <c r="AC192" s="515"/>
      <c r="AD192" s="515"/>
      <c r="AE192" s="515"/>
      <c r="AF192" s="515"/>
      <c r="AG192" s="515"/>
      <c r="AH192" s="515"/>
      <c r="AI192" s="515"/>
      <c r="AJ192" s="515"/>
      <c r="AK192" s="515"/>
      <c r="AL192" s="515"/>
      <c r="AM192" s="515"/>
      <c r="AN192" s="515"/>
      <c r="AO192" s="515"/>
      <c r="AP192" s="515"/>
      <c r="AQ192" s="515"/>
      <c r="AR192" s="515"/>
      <c r="AS192" s="515"/>
      <c r="AT192" s="515"/>
      <c r="AU192" s="515"/>
      <c r="AV192" s="515"/>
      <c r="AW192" s="515"/>
      <c r="AX192" s="515"/>
      <c r="AY192" s="515"/>
      <c r="AZ192" s="515"/>
      <c r="BA192" s="515"/>
      <c r="BB192" s="515"/>
      <c r="BC192" s="515"/>
      <c r="BD192" s="515"/>
      <c r="BE192" s="515"/>
      <c r="BF192" s="515"/>
      <c r="BG192" s="515"/>
      <c r="BH192" s="515"/>
      <c r="BI192" s="515"/>
      <c r="BJ192" s="515"/>
      <c r="BK192" s="515"/>
      <c r="BL192" s="515"/>
      <c r="BM192" s="515"/>
      <c r="BN192" s="515"/>
      <c r="BO192" s="515"/>
      <c r="BP192" s="515"/>
      <c r="BQ192" s="515"/>
      <c r="BR192" s="515"/>
      <c r="BS192" s="515"/>
      <c r="BT192" s="515"/>
      <c r="BU192" s="515"/>
      <c r="BV192" s="515"/>
      <c r="BW192" s="515"/>
      <c r="BX192" s="515"/>
      <c r="BY192" s="515"/>
      <c r="BZ192" s="515"/>
      <c r="CA192" s="515"/>
      <c r="CB192" s="515"/>
      <c r="CC192" s="515"/>
      <c r="CD192" s="515"/>
      <c r="CE192" s="515"/>
      <c r="CF192" s="515"/>
      <c r="CG192" s="515"/>
      <c r="CH192" s="515"/>
      <c r="CI192" s="515"/>
      <c r="CJ192" s="515"/>
      <c r="CK192" s="515"/>
      <c r="CL192" s="515"/>
      <c r="CM192" s="515"/>
      <c r="CN192" s="515"/>
      <c r="CO192" s="515"/>
      <c r="CP192" s="515"/>
      <c r="CQ192" s="515"/>
      <c r="CR192" s="515"/>
      <c r="CS192" s="515"/>
      <c r="CT192" s="515"/>
      <c r="CU192" s="515"/>
      <c r="CV192" s="515"/>
      <c r="CW192" s="515"/>
      <c r="CX192" s="515"/>
      <c r="CY192" s="515"/>
      <c r="CZ192" s="515"/>
      <c r="DA192" s="515"/>
      <c r="DB192" s="515"/>
      <c r="DC192" s="515"/>
      <c r="DD192" s="515"/>
      <c r="DE192" s="515"/>
      <c r="DF192" s="515"/>
      <c r="DG192" s="515"/>
      <c r="DH192" s="515"/>
      <c r="DI192" s="515"/>
      <c r="DJ192" s="515"/>
      <c r="DK192" s="515"/>
      <c r="DL192" s="515"/>
      <c r="DM192" s="515"/>
      <c r="DN192" s="515"/>
      <c r="DO192" s="515"/>
      <c r="DP192" s="515"/>
      <c r="DQ192" s="515"/>
      <c r="DR192" s="515"/>
      <c r="DS192" s="515"/>
      <c r="DT192" s="515"/>
      <c r="DU192" s="515"/>
      <c r="DV192" s="515"/>
      <c r="DW192" s="515"/>
      <c r="DX192" s="515"/>
      <c r="DY192" s="515"/>
      <c r="DZ192" s="515"/>
      <c r="EA192" s="515"/>
      <c r="EB192" s="515"/>
      <c r="EC192" s="515"/>
      <c r="ED192" s="515"/>
      <c r="EE192" s="515"/>
      <c r="EF192" s="515"/>
      <c r="EG192" s="515"/>
      <c r="EH192" s="515"/>
      <c r="EI192" s="515"/>
      <c r="EJ192" s="515"/>
      <c r="EK192" s="515"/>
      <c r="EL192" s="515"/>
      <c r="EM192" s="515"/>
      <c r="EN192" s="515"/>
      <c r="EO192" s="515"/>
      <c r="EP192" s="515"/>
      <c r="EQ192" s="515"/>
      <c r="ER192" s="515"/>
      <c r="ES192" s="515"/>
      <c r="ET192" s="515"/>
      <c r="EU192" s="515"/>
      <c r="EV192" s="515"/>
      <c r="EW192" s="515"/>
      <c r="EX192" s="515"/>
      <c r="EY192" s="515"/>
      <c r="EZ192" s="515"/>
      <c r="FA192" s="515"/>
      <c r="FB192" s="515"/>
      <c r="FC192" s="515"/>
      <c r="FD192" s="515"/>
      <c r="FE192" s="515"/>
      <c r="FF192" s="515"/>
      <c r="FG192" s="515"/>
      <c r="FH192" s="515"/>
      <c r="FI192" s="515"/>
      <c r="FJ192" s="515"/>
      <c r="FK192" s="515"/>
      <c r="FL192" s="515"/>
      <c r="FM192" s="515"/>
      <c r="FN192" s="515"/>
      <c r="FO192" s="515"/>
      <c r="FP192" s="515"/>
      <c r="FQ192" s="515"/>
      <c r="FR192" s="515"/>
      <c r="FS192" s="515"/>
      <c r="FT192" s="515"/>
      <c r="FU192" s="515"/>
      <c r="FV192" s="515"/>
      <c r="FW192" s="515"/>
      <c r="FX192" s="515"/>
      <c r="FY192" s="515"/>
      <c r="FZ192" s="515"/>
      <c r="GA192" s="515"/>
      <c r="GB192" s="515"/>
      <c r="GC192" s="515"/>
      <c r="GD192" s="515"/>
      <c r="GE192" s="515"/>
      <c r="GF192" s="515"/>
      <c r="GG192" s="515"/>
      <c r="GH192" s="515"/>
      <c r="GI192" s="515"/>
      <c r="GJ192" s="515"/>
      <c r="GK192" s="515"/>
      <c r="GL192" s="515"/>
      <c r="GM192" s="515"/>
      <c r="GN192" s="515"/>
    </row>
    <row r="193" spans="1:196" s="525" customFormat="1" ht="13.8" hidden="1" outlineLevel="1" x14ac:dyDescent="0.25">
      <c r="A193" s="1415" t="s">
        <v>763</v>
      </c>
      <c r="B193" s="1415" t="s">
        <v>192</v>
      </c>
      <c r="C193" s="1416"/>
      <c r="D193" s="1416"/>
      <c r="E193" s="528"/>
      <c r="F193" s="1429" t="s">
        <v>43</v>
      </c>
      <c r="G193" s="505">
        <v>0</v>
      </c>
      <c r="H193" s="505">
        <v>2000</v>
      </c>
      <c r="I193" s="510">
        <f t="shared" si="25"/>
        <v>2000</v>
      </c>
      <c r="J193" s="876" t="str">
        <f t="shared" si="21"/>
        <v>-</v>
      </c>
      <c r="K193" s="1418"/>
      <c r="L193" s="1417"/>
      <c r="M193" s="1122"/>
      <c r="N193" s="515"/>
      <c r="O193" s="515"/>
      <c r="P193" s="515"/>
      <c r="Q193" s="515"/>
      <c r="R193" s="515"/>
      <c r="S193" s="515"/>
      <c r="T193" s="515"/>
      <c r="U193" s="515"/>
      <c r="V193" s="515"/>
      <c r="W193" s="515"/>
      <c r="X193" s="515"/>
      <c r="Y193" s="515"/>
      <c r="Z193" s="515"/>
      <c r="AA193" s="515"/>
      <c r="AB193" s="515"/>
      <c r="AC193" s="515"/>
      <c r="AD193" s="515"/>
      <c r="AE193" s="515"/>
      <c r="AF193" s="515"/>
      <c r="AG193" s="515"/>
      <c r="AH193" s="515"/>
      <c r="AI193" s="515"/>
      <c r="AJ193" s="515"/>
      <c r="AK193" s="515"/>
      <c r="AL193" s="515"/>
      <c r="AM193" s="515"/>
      <c r="AN193" s="515"/>
      <c r="AO193" s="515"/>
      <c r="AP193" s="515"/>
      <c r="AQ193" s="515"/>
      <c r="AR193" s="515"/>
      <c r="AS193" s="515"/>
      <c r="AT193" s="515"/>
      <c r="AU193" s="515"/>
      <c r="AV193" s="515"/>
      <c r="AW193" s="515"/>
      <c r="AX193" s="515"/>
      <c r="AY193" s="515"/>
      <c r="AZ193" s="515"/>
      <c r="BA193" s="515"/>
      <c r="BB193" s="515"/>
      <c r="BC193" s="515"/>
      <c r="BD193" s="515"/>
      <c r="BE193" s="515"/>
      <c r="BF193" s="515"/>
      <c r="BG193" s="515"/>
      <c r="BH193" s="515"/>
      <c r="BI193" s="515"/>
      <c r="BJ193" s="515"/>
      <c r="BK193" s="515"/>
      <c r="BL193" s="515"/>
      <c r="BM193" s="515"/>
      <c r="BN193" s="515"/>
      <c r="BO193" s="515"/>
      <c r="BP193" s="515"/>
      <c r="BQ193" s="515"/>
      <c r="BR193" s="515"/>
      <c r="BS193" s="515"/>
      <c r="BT193" s="515"/>
      <c r="BU193" s="515"/>
      <c r="BV193" s="515"/>
      <c r="BW193" s="515"/>
      <c r="BX193" s="515"/>
      <c r="BY193" s="515"/>
      <c r="BZ193" s="515"/>
      <c r="CA193" s="515"/>
      <c r="CB193" s="515"/>
      <c r="CC193" s="515"/>
      <c r="CD193" s="515"/>
      <c r="CE193" s="515"/>
      <c r="CF193" s="515"/>
      <c r="CG193" s="515"/>
      <c r="CH193" s="515"/>
      <c r="CI193" s="515"/>
      <c r="CJ193" s="515"/>
      <c r="CK193" s="515"/>
      <c r="CL193" s="515"/>
      <c r="CM193" s="515"/>
      <c r="CN193" s="515"/>
      <c r="CO193" s="515"/>
      <c r="CP193" s="515"/>
      <c r="CQ193" s="515"/>
      <c r="CR193" s="515"/>
      <c r="CS193" s="515"/>
      <c r="CT193" s="515"/>
      <c r="CU193" s="515"/>
      <c r="CV193" s="515"/>
      <c r="CW193" s="515"/>
      <c r="CX193" s="515"/>
      <c r="CY193" s="515"/>
      <c r="CZ193" s="515"/>
      <c r="DA193" s="515"/>
      <c r="DB193" s="515"/>
      <c r="DC193" s="515"/>
      <c r="DD193" s="515"/>
      <c r="DE193" s="515"/>
      <c r="DF193" s="515"/>
      <c r="DG193" s="515"/>
      <c r="DH193" s="515"/>
      <c r="DI193" s="515"/>
      <c r="DJ193" s="515"/>
      <c r="DK193" s="515"/>
      <c r="DL193" s="515"/>
      <c r="DM193" s="515"/>
      <c r="DN193" s="515"/>
      <c r="DO193" s="515"/>
      <c r="DP193" s="515"/>
      <c r="DQ193" s="515"/>
      <c r="DR193" s="515"/>
      <c r="DS193" s="515"/>
      <c r="DT193" s="515"/>
      <c r="DU193" s="515"/>
      <c r="DV193" s="515"/>
      <c r="DW193" s="515"/>
      <c r="DX193" s="515"/>
      <c r="DY193" s="515"/>
      <c r="DZ193" s="515"/>
      <c r="EA193" s="515"/>
      <c r="EB193" s="515"/>
      <c r="EC193" s="515"/>
      <c r="ED193" s="515"/>
      <c r="EE193" s="515"/>
      <c r="EF193" s="515"/>
      <c r="EG193" s="515"/>
      <c r="EH193" s="515"/>
      <c r="EI193" s="515"/>
      <c r="EJ193" s="515"/>
      <c r="EK193" s="515"/>
      <c r="EL193" s="515"/>
      <c r="EM193" s="515"/>
      <c r="EN193" s="515"/>
      <c r="EO193" s="515"/>
      <c r="EP193" s="515"/>
      <c r="EQ193" s="515"/>
      <c r="ER193" s="515"/>
      <c r="ES193" s="515"/>
      <c r="ET193" s="515"/>
      <c r="EU193" s="515"/>
      <c r="EV193" s="515"/>
      <c r="EW193" s="515"/>
      <c r="EX193" s="515"/>
      <c r="EY193" s="515"/>
      <c r="EZ193" s="515"/>
      <c r="FA193" s="515"/>
      <c r="FB193" s="515"/>
      <c r="FC193" s="515"/>
      <c r="FD193" s="515"/>
      <c r="FE193" s="515"/>
      <c r="FF193" s="515"/>
      <c r="FG193" s="515"/>
      <c r="FH193" s="515"/>
      <c r="FI193" s="515"/>
      <c r="FJ193" s="515"/>
      <c r="FK193" s="515"/>
      <c r="FL193" s="515"/>
      <c r="FM193" s="515"/>
      <c r="FN193" s="515"/>
      <c r="FO193" s="515"/>
      <c r="FP193" s="515"/>
      <c r="FQ193" s="515"/>
      <c r="FR193" s="515"/>
      <c r="FS193" s="515"/>
      <c r="FT193" s="515"/>
      <c r="FU193" s="515"/>
      <c r="FV193" s="515"/>
      <c r="FW193" s="515"/>
      <c r="FX193" s="515"/>
      <c r="FY193" s="515"/>
      <c r="FZ193" s="515"/>
      <c r="GA193" s="515"/>
      <c r="GB193" s="515"/>
      <c r="GC193" s="515"/>
      <c r="GD193" s="515"/>
      <c r="GE193" s="515"/>
      <c r="GF193" s="515"/>
      <c r="GG193" s="515"/>
      <c r="GH193" s="515"/>
      <c r="GI193" s="515"/>
      <c r="GJ193" s="515"/>
      <c r="GK193" s="515"/>
      <c r="GL193" s="515"/>
      <c r="GM193" s="515"/>
      <c r="GN193" s="515"/>
    </row>
    <row r="194" spans="1:196" s="110" customFormat="1" ht="13.8" collapsed="1" x14ac:dyDescent="0.25">
      <c r="A194" s="810"/>
      <c r="B194" s="810"/>
      <c r="C194" s="923"/>
      <c r="D194" s="923"/>
      <c r="E194" s="143" t="s">
        <v>23</v>
      </c>
      <c r="F194" s="144" t="s">
        <v>94</v>
      </c>
      <c r="G194" s="294">
        <v>1715836.6316399998</v>
      </c>
      <c r="H194" s="295">
        <v>2230659.0900725001</v>
      </c>
      <c r="I194" s="126">
        <f t="shared" si="25"/>
        <v>514822.45843250025</v>
      </c>
      <c r="J194" s="864">
        <f t="shared" si="21"/>
        <v>0.30004165253217141</v>
      </c>
      <c r="K194" s="423"/>
      <c r="L194" s="224"/>
      <c r="M194" s="1063"/>
    </row>
    <row r="195" spans="1:196" s="333" customFormat="1" ht="13.8" x14ac:dyDescent="0.25">
      <c r="A195" s="1412"/>
      <c r="B195" s="1412"/>
      <c r="C195" s="1407"/>
      <c r="D195" s="1407"/>
      <c r="E195" s="329"/>
      <c r="F195" s="339" t="s">
        <v>228</v>
      </c>
      <c r="G195" s="340">
        <v>732810.0716400001</v>
      </c>
      <c r="H195" s="340">
        <v>865846.73007249995</v>
      </c>
      <c r="I195" s="341">
        <f t="shared" si="25"/>
        <v>133036.65843249985</v>
      </c>
      <c r="J195" s="873">
        <f t="shared" ref="J195:J257" si="27">IFERROR(I195/G195,"-")</f>
        <v>0.18154316320294159</v>
      </c>
      <c r="K195" s="425"/>
      <c r="L195" s="470"/>
      <c r="M195" s="1125"/>
      <c r="N195" s="925"/>
      <c r="O195" s="925"/>
      <c r="P195" s="925"/>
      <c r="Q195" s="925"/>
      <c r="R195" s="925"/>
      <c r="S195" s="925"/>
      <c r="T195" s="925"/>
      <c r="U195" s="925"/>
      <c r="V195" s="925"/>
      <c r="W195" s="925"/>
      <c r="X195" s="925"/>
      <c r="Y195" s="925"/>
      <c r="Z195" s="925"/>
      <c r="AA195" s="925"/>
      <c r="AB195" s="925"/>
      <c r="AC195" s="925"/>
      <c r="AD195" s="925"/>
      <c r="AE195" s="925"/>
      <c r="AF195" s="925"/>
      <c r="AG195" s="925"/>
      <c r="AH195" s="925"/>
      <c r="AI195" s="925"/>
      <c r="AJ195" s="925"/>
      <c r="AK195" s="925"/>
      <c r="AL195" s="925"/>
      <c r="AM195" s="925"/>
      <c r="AN195" s="925"/>
      <c r="AO195" s="925"/>
      <c r="AP195" s="925"/>
      <c r="AQ195" s="925"/>
      <c r="AR195" s="925"/>
      <c r="AS195" s="925"/>
      <c r="AT195" s="925"/>
      <c r="AU195" s="925"/>
      <c r="AV195" s="925"/>
      <c r="AW195" s="925"/>
      <c r="AX195" s="925"/>
      <c r="AY195" s="925"/>
      <c r="AZ195" s="925"/>
      <c r="BA195" s="925"/>
      <c r="BB195" s="925"/>
      <c r="BC195" s="925"/>
      <c r="BD195" s="925"/>
      <c r="BE195" s="925"/>
      <c r="BF195" s="925"/>
      <c r="BG195" s="925"/>
      <c r="BH195" s="925"/>
      <c r="BI195" s="925"/>
      <c r="BJ195" s="925"/>
      <c r="BK195" s="925"/>
      <c r="BL195" s="925"/>
      <c r="BM195" s="925"/>
      <c r="BN195" s="925"/>
      <c r="BO195" s="925"/>
      <c r="BP195" s="925"/>
      <c r="BQ195" s="925"/>
      <c r="BR195" s="925"/>
      <c r="BS195" s="925"/>
      <c r="BT195" s="925"/>
      <c r="BU195" s="925"/>
      <c r="BV195" s="925"/>
      <c r="BW195" s="925"/>
      <c r="BX195" s="925"/>
      <c r="BY195" s="925"/>
      <c r="BZ195" s="925"/>
      <c r="CA195" s="925"/>
      <c r="CB195" s="925"/>
      <c r="CC195" s="925"/>
      <c r="CD195" s="925"/>
      <c r="CE195" s="925"/>
      <c r="CF195" s="925"/>
      <c r="CG195" s="925"/>
      <c r="CH195" s="925"/>
      <c r="CI195" s="925"/>
      <c r="CJ195" s="925"/>
      <c r="CK195" s="925"/>
      <c r="CL195" s="925"/>
      <c r="CM195" s="925"/>
      <c r="CN195" s="925"/>
      <c r="CO195" s="925"/>
      <c r="CP195" s="925"/>
      <c r="CQ195" s="925"/>
      <c r="CR195" s="925"/>
      <c r="CS195" s="925"/>
      <c r="CT195" s="925"/>
      <c r="CU195" s="925"/>
      <c r="CV195" s="925"/>
      <c r="CW195" s="925"/>
      <c r="CX195" s="925"/>
      <c r="CY195" s="925"/>
      <c r="CZ195" s="925"/>
      <c r="DA195" s="925"/>
      <c r="DB195" s="925"/>
      <c r="DC195" s="925"/>
      <c r="DD195" s="925"/>
      <c r="DE195" s="925"/>
      <c r="DF195" s="925"/>
      <c r="DG195" s="925"/>
      <c r="DH195" s="925"/>
      <c r="DI195" s="925"/>
      <c r="DJ195" s="925"/>
      <c r="DK195" s="925"/>
      <c r="DL195" s="925"/>
      <c r="DM195" s="925"/>
      <c r="DN195" s="925"/>
      <c r="DO195" s="925"/>
      <c r="DP195" s="925"/>
      <c r="DQ195" s="925"/>
      <c r="DR195" s="925"/>
      <c r="DS195" s="925"/>
      <c r="DT195" s="925"/>
      <c r="DU195" s="925"/>
      <c r="DV195" s="925"/>
      <c r="DW195" s="925"/>
      <c r="DX195" s="925"/>
      <c r="DY195" s="925"/>
      <c r="DZ195" s="925"/>
      <c r="EA195" s="925"/>
      <c r="EB195" s="925"/>
      <c r="EC195" s="925"/>
      <c r="ED195" s="925"/>
      <c r="EE195" s="925"/>
      <c r="EF195" s="925"/>
      <c r="EG195" s="925"/>
      <c r="EH195" s="925"/>
      <c r="EI195" s="925"/>
      <c r="EJ195" s="925"/>
      <c r="EK195" s="925"/>
      <c r="EL195" s="925"/>
      <c r="EM195" s="925"/>
      <c r="EN195" s="925"/>
      <c r="EO195" s="925"/>
      <c r="EP195" s="925"/>
      <c r="EQ195" s="925"/>
      <c r="ER195" s="925"/>
      <c r="ES195" s="925"/>
      <c r="ET195" s="925"/>
      <c r="EU195" s="925"/>
      <c r="EV195" s="925"/>
      <c r="EW195" s="925"/>
      <c r="EX195" s="925"/>
      <c r="EY195" s="925"/>
      <c r="EZ195" s="925"/>
      <c r="FA195" s="925"/>
      <c r="FB195" s="925"/>
      <c r="FC195" s="925"/>
      <c r="FD195" s="925"/>
      <c r="FE195" s="925"/>
      <c r="FF195" s="925"/>
      <c r="FG195" s="925"/>
      <c r="FH195" s="925"/>
      <c r="FI195" s="925"/>
      <c r="FJ195" s="925"/>
      <c r="FK195" s="925"/>
      <c r="FL195" s="925"/>
      <c r="FM195" s="925"/>
      <c r="FN195" s="925"/>
      <c r="FO195" s="925"/>
      <c r="FP195" s="925"/>
      <c r="FQ195" s="925"/>
      <c r="FR195" s="925"/>
      <c r="FS195" s="925"/>
      <c r="FT195" s="925"/>
      <c r="FU195" s="925"/>
      <c r="FV195" s="925"/>
      <c r="FW195" s="925"/>
      <c r="FX195" s="925"/>
      <c r="FY195" s="925"/>
      <c r="FZ195" s="925"/>
      <c r="GA195" s="925"/>
      <c r="GB195" s="925"/>
      <c r="GC195" s="925"/>
      <c r="GD195" s="925"/>
      <c r="GE195" s="925"/>
      <c r="GF195" s="925"/>
      <c r="GG195" s="925"/>
      <c r="GH195" s="925"/>
      <c r="GI195" s="925"/>
      <c r="GJ195" s="925"/>
      <c r="GK195" s="925"/>
      <c r="GL195" s="925"/>
      <c r="GM195" s="925"/>
      <c r="GN195" s="925"/>
    </row>
    <row r="196" spans="1:196" s="333" customFormat="1" ht="13.8" x14ac:dyDescent="0.25">
      <c r="A196" s="1412"/>
      <c r="B196" s="1412"/>
      <c r="C196" s="1407"/>
      <c r="D196" s="1407"/>
      <c r="E196" s="331"/>
      <c r="F196" s="345" t="s">
        <v>198</v>
      </c>
      <c r="G196" s="346">
        <v>123765.56</v>
      </c>
      <c r="H196" s="346">
        <v>157480</v>
      </c>
      <c r="I196" s="341">
        <f t="shared" si="25"/>
        <v>33714.44</v>
      </c>
      <c r="J196" s="873">
        <f t="shared" si="27"/>
        <v>0.27240566761868168</v>
      </c>
      <c r="K196" s="425"/>
      <c r="L196" s="470"/>
      <c r="M196" s="1125"/>
      <c r="N196" s="925"/>
      <c r="O196" s="925"/>
      <c r="P196" s="925"/>
      <c r="Q196" s="925"/>
      <c r="R196" s="925"/>
      <c r="S196" s="925"/>
      <c r="T196" s="925"/>
      <c r="U196" s="925"/>
      <c r="V196" s="925"/>
      <c r="W196" s="925"/>
      <c r="X196" s="925"/>
      <c r="Y196" s="925"/>
      <c r="Z196" s="925"/>
      <c r="AA196" s="925"/>
      <c r="AB196" s="925"/>
      <c r="AC196" s="925"/>
      <c r="AD196" s="925"/>
      <c r="AE196" s="925"/>
      <c r="AF196" s="925"/>
      <c r="AG196" s="925"/>
      <c r="AH196" s="925"/>
      <c r="AI196" s="925"/>
      <c r="AJ196" s="925"/>
      <c r="AK196" s="925"/>
      <c r="AL196" s="925"/>
      <c r="AM196" s="925"/>
      <c r="AN196" s="925"/>
      <c r="AO196" s="925"/>
      <c r="AP196" s="925"/>
      <c r="AQ196" s="925"/>
      <c r="AR196" s="925"/>
      <c r="AS196" s="925"/>
      <c r="AT196" s="925"/>
      <c r="AU196" s="925"/>
      <c r="AV196" s="925"/>
      <c r="AW196" s="925"/>
      <c r="AX196" s="925"/>
      <c r="AY196" s="925"/>
      <c r="AZ196" s="925"/>
      <c r="BA196" s="925"/>
      <c r="BB196" s="925"/>
      <c r="BC196" s="925"/>
      <c r="BD196" s="925"/>
      <c r="BE196" s="925"/>
      <c r="BF196" s="925"/>
      <c r="BG196" s="925"/>
      <c r="BH196" s="925"/>
      <c r="BI196" s="925"/>
      <c r="BJ196" s="925"/>
      <c r="BK196" s="925"/>
      <c r="BL196" s="925"/>
      <c r="BM196" s="925"/>
      <c r="BN196" s="925"/>
      <c r="BO196" s="925"/>
      <c r="BP196" s="925"/>
      <c r="BQ196" s="925"/>
      <c r="BR196" s="925"/>
      <c r="BS196" s="925"/>
      <c r="BT196" s="925"/>
      <c r="BU196" s="925"/>
      <c r="BV196" s="925"/>
      <c r="BW196" s="925"/>
      <c r="BX196" s="925"/>
      <c r="BY196" s="925"/>
      <c r="BZ196" s="925"/>
      <c r="CA196" s="925"/>
      <c r="CB196" s="925"/>
      <c r="CC196" s="925"/>
      <c r="CD196" s="925"/>
      <c r="CE196" s="925"/>
      <c r="CF196" s="925"/>
      <c r="CG196" s="925"/>
      <c r="CH196" s="925"/>
      <c r="CI196" s="925"/>
      <c r="CJ196" s="925"/>
      <c r="CK196" s="925"/>
      <c r="CL196" s="925"/>
      <c r="CM196" s="925"/>
      <c r="CN196" s="925"/>
      <c r="CO196" s="925"/>
      <c r="CP196" s="925"/>
      <c r="CQ196" s="925"/>
      <c r="CR196" s="925"/>
      <c r="CS196" s="925"/>
      <c r="CT196" s="925"/>
      <c r="CU196" s="925"/>
      <c r="CV196" s="925"/>
      <c r="CW196" s="925"/>
      <c r="CX196" s="925"/>
      <c r="CY196" s="925"/>
      <c r="CZ196" s="925"/>
      <c r="DA196" s="925"/>
      <c r="DB196" s="925"/>
      <c r="DC196" s="925"/>
      <c r="DD196" s="925"/>
      <c r="DE196" s="925"/>
      <c r="DF196" s="925"/>
      <c r="DG196" s="925"/>
      <c r="DH196" s="925"/>
      <c r="DI196" s="925"/>
      <c r="DJ196" s="925"/>
      <c r="DK196" s="925"/>
      <c r="DL196" s="925"/>
      <c r="DM196" s="925"/>
      <c r="DN196" s="925"/>
      <c r="DO196" s="925"/>
      <c r="DP196" s="925"/>
      <c r="DQ196" s="925"/>
      <c r="DR196" s="925"/>
      <c r="DS196" s="925"/>
      <c r="DT196" s="925"/>
      <c r="DU196" s="925"/>
      <c r="DV196" s="925"/>
      <c r="DW196" s="925"/>
      <c r="DX196" s="925"/>
      <c r="DY196" s="925"/>
      <c r="DZ196" s="925"/>
      <c r="EA196" s="925"/>
      <c r="EB196" s="925"/>
      <c r="EC196" s="925"/>
      <c r="ED196" s="925"/>
      <c r="EE196" s="925"/>
      <c r="EF196" s="925"/>
      <c r="EG196" s="925"/>
      <c r="EH196" s="925"/>
      <c r="EI196" s="925"/>
      <c r="EJ196" s="925"/>
      <c r="EK196" s="925"/>
      <c r="EL196" s="925"/>
      <c r="EM196" s="925"/>
      <c r="EN196" s="925"/>
      <c r="EO196" s="925"/>
      <c r="EP196" s="925"/>
      <c r="EQ196" s="925"/>
      <c r="ER196" s="925"/>
      <c r="ES196" s="925"/>
      <c r="ET196" s="925"/>
      <c r="EU196" s="925"/>
      <c r="EV196" s="925"/>
      <c r="EW196" s="925"/>
      <c r="EX196" s="925"/>
      <c r="EY196" s="925"/>
      <c r="EZ196" s="925"/>
      <c r="FA196" s="925"/>
      <c r="FB196" s="925"/>
      <c r="FC196" s="925"/>
      <c r="FD196" s="925"/>
      <c r="FE196" s="925"/>
      <c r="FF196" s="925"/>
      <c r="FG196" s="925"/>
      <c r="FH196" s="925"/>
      <c r="FI196" s="925"/>
      <c r="FJ196" s="925"/>
      <c r="FK196" s="925"/>
      <c r="FL196" s="925"/>
      <c r="FM196" s="925"/>
      <c r="FN196" s="925"/>
      <c r="FO196" s="925"/>
      <c r="FP196" s="925"/>
      <c r="FQ196" s="925"/>
      <c r="FR196" s="925"/>
      <c r="FS196" s="925"/>
      <c r="FT196" s="925"/>
      <c r="FU196" s="925"/>
      <c r="FV196" s="925"/>
      <c r="FW196" s="925"/>
      <c r="FX196" s="925"/>
      <c r="FY196" s="925"/>
      <c r="FZ196" s="925"/>
      <c r="GA196" s="925"/>
      <c r="GB196" s="925"/>
      <c r="GC196" s="925"/>
      <c r="GD196" s="925"/>
      <c r="GE196" s="925"/>
      <c r="GF196" s="925"/>
      <c r="GG196" s="925"/>
      <c r="GH196" s="925"/>
      <c r="GI196" s="925"/>
      <c r="GJ196" s="925"/>
      <c r="GK196" s="925"/>
      <c r="GL196" s="925"/>
      <c r="GM196" s="925"/>
      <c r="GN196" s="925"/>
    </row>
    <row r="197" spans="1:196" s="333" customFormat="1" ht="13.8" x14ac:dyDescent="0.25">
      <c r="A197" s="1412"/>
      <c r="B197" s="1412"/>
      <c r="C197" s="1407"/>
      <c r="D197" s="1407"/>
      <c r="E197" s="329"/>
      <c r="F197" s="339" t="s">
        <v>186</v>
      </c>
      <c r="G197" s="340">
        <v>851604</v>
      </c>
      <c r="H197" s="340">
        <v>1204132.3600000001</v>
      </c>
      <c r="I197" s="341">
        <f t="shared" si="25"/>
        <v>352528.3600000001</v>
      </c>
      <c r="J197" s="873">
        <f t="shared" si="27"/>
        <v>0.41395808380420956</v>
      </c>
      <c r="K197" s="425"/>
      <c r="L197" s="470"/>
      <c r="M197" s="1125"/>
      <c r="N197" s="925"/>
      <c r="O197" s="925"/>
      <c r="P197" s="925"/>
      <c r="Q197" s="925"/>
      <c r="R197" s="925"/>
      <c r="S197" s="925"/>
      <c r="T197" s="925"/>
      <c r="U197" s="925"/>
      <c r="V197" s="925"/>
      <c r="W197" s="925"/>
      <c r="X197" s="925"/>
      <c r="Y197" s="925"/>
      <c r="Z197" s="925"/>
      <c r="AA197" s="925"/>
      <c r="AB197" s="925"/>
      <c r="AC197" s="925"/>
      <c r="AD197" s="925"/>
      <c r="AE197" s="925"/>
      <c r="AF197" s="925"/>
      <c r="AG197" s="925"/>
      <c r="AH197" s="925"/>
      <c r="AI197" s="925"/>
      <c r="AJ197" s="925"/>
      <c r="AK197" s="925"/>
      <c r="AL197" s="925"/>
      <c r="AM197" s="925"/>
      <c r="AN197" s="925"/>
      <c r="AO197" s="925"/>
      <c r="AP197" s="925"/>
      <c r="AQ197" s="925"/>
      <c r="AR197" s="925"/>
      <c r="AS197" s="925"/>
      <c r="AT197" s="925"/>
      <c r="AU197" s="925"/>
      <c r="AV197" s="925"/>
      <c r="AW197" s="925"/>
      <c r="AX197" s="925"/>
      <c r="AY197" s="925"/>
      <c r="AZ197" s="925"/>
      <c r="BA197" s="925"/>
      <c r="BB197" s="925"/>
      <c r="BC197" s="925"/>
      <c r="BD197" s="925"/>
      <c r="BE197" s="925"/>
      <c r="BF197" s="925"/>
      <c r="BG197" s="925"/>
      <c r="BH197" s="925"/>
      <c r="BI197" s="925"/>
      <c r="BJ197" s="925"/>
      <c r="BK197" s="925"/>
      <c r="BL197" s="925"/>
      <c r="BM197" s="925"/>
      <c r="BN197" s="925"/>
      <c r="BO197" s="925"/>
      <c r="BP197" s="925"/>
      <c r="BQ197" s="925"/>
      <c r="BR197" s="925"/>
      <c r="BS197" s="925"/>
      <c r="BT197" s="925"/>
      <c r="BU197" s="925"/>
      <c r="BV197" s="925"/>
      <c r="BW197" s="925"/>
      <c r="BX197" s="925"/>
      <c r="BY197" s="925"/>
      <c r="BZ197" s="925"/>
      <c r="CA197" s="925"/>
      <c r="CB197" s="925"/>
      <c r="CC197" s="925"/>
      <c r="CD197" s="925"/>
      <c r="CE197" s="925"/>
      <c r="CF197" s="925"/>
      <c r="CG197" s="925"/>
      <c r="CH197" s="925"/>
      <c r="CI197" s="925"/>
      <c r="CJ197" s="925"/>
      <c r="CK197" s="925"/>
      <c r="CL197" s="925"/>
      <c r="CM197" s="925"/>
      <c r="CN197" s="925"/>
      <c r="CO197" s="925"/>
      <c r="CP197" s="925"/>
      <c r="CQ197" s="925"/>
      <c r="CR197" s="925"/>
      <c r="CS197" s="925"/>
      <c r="CT197" s="925"/>
      <c r="CU197" s="925"/>
      <c r="CV197" s="925"/>
      <c r="CW197" s="925"/>
      <c r="CX197" s="925"/>
      <c r="CY197" s="925"/>
      <c r="CZ197" s="925"/>
      <c r="DA197" s="925"/>
      <c r="DB197" s="925"/>
      <c r="DC197" s="925"/>
      <c r="DD197" s="925"/>
      <c r="DE197" s="925"/>
      <c r="DF197" s="925"/>
      <c r="DG197" s="925"/>
      <c r="DH197" s="925"/>
      <c r="DI197" s="925"/>
      <c r="DJ197" s="925"/>
      <c r="DK197" s="925"/>
      <c r="DL197" s="925"/>
      <c r="DM197" s="925"/>
      <c r="DN197" s="925"/>
      <c r="DO197" s="925"/>
      <c r="DP197" s="925"/>
      <c r="DQ197" s="925"/>
      <c r="DR197" s="925"/>
      <c r="DS197" s="925"/>
      <c r="DT197" s="925"/>
      <c r="DU197" s="925"/>
      <c r="DV197" s="925"/>
      <c r="DW197" s="925"/>
      <c r="DX197" s="925"/>
      <c r="DY197" s="925"/>
      <c r="DZ197" s="925"/>
      <c r="EA197" s="925"/>
      <c r="EB197" s="925"/>
      <c r="EC197" s="925"/>
      <c r="ED197" s="925"/>
      <c r="EE197" s="925"/>
      <c r="EF197" s="925"/>
      <c r="EG197" s="925"/>
      <c r="EH197" s="925"/>
      <c r="EI197" s="925"/>
      <c r="EJ197" s="925"/>
      <c r="EK197" s="925"/>
      <c r="EL197" s="925"/>
      <c r="EM197" s="925"/>
      <c r="EN197" s="925"/>
      <c r="EO197" s="925"/>
      <c r="EP197" s="925"/>
      <c r="EQ197" s="925"/>
      <c r="ER197" s="925"/>
      <c r="ES197" s="925"/>
      <c r="ET197" s="925"/>
      <c r="EU197" s="925"/>
      <c r="EV197" s="925"/>
      <c r="EW197" s="925"/>
      <c r="EX197" s="925"/>
      <c r="EY197" s="925"/>
      <c r="EZ197" s="925"/>
      <c r="FA197" s="925"/>
      <c r="FB197" s="925"/>
      <c r="FC197" s="925"/>
      <c r="FD197" s="925"/>
      <c r="FE197" s="925"/>
      <c r="FF197" s="925"/>
      <c r="FG197" s="925"/>
      <c r="FH197" s="925"/>
      <c r="FI197" s="925"/>
      <c r="FJ197" s="925"/>
      <c r="FK197" s="925"/>
      <c r="FL197" s="925"/>
      <c r="FM197" s="925"/>
      <c r="FN197" s="925"/>
      <c r="FO197" s="925"/>
      <c r="FP197" s="925"/>
      <c r="FQ197" s="925"/>
      <c r="FR197" s="925"/>
      <c r="FS197" s="925"/>
      <c r="FT197" s="925"/>
      <c r="FU197" s="925"/>
      <c r="FV197" s="925"/>
      <c r="FW197" s="925"/>
      <c r="FX197" s="925"/>
      <c r="FY197" s="925"/>
      <c r="FZ197" s="925"/>
      <c r="GA197" s="925"/>
      <c r="GB197" s="925"/>
      <c r="GC197" s="925"/>
      <c r="GD197" s="925"/>
      <c r="GE197" s="925"/>
      <c r="GF197" s="925"/>
      <c r="GG197" s="925"/>
      <c r="GH197" s="925"/>
      <c r="GI197" s="925"/>
      <c r="GJ197" s="925"/>
      <c r="GK197" s="925"/>
      <c r="GL197" s="925"/>
      <c r="GM197" s="925"/>
      <c r="GN197" s="925"/>
    </row>
    <row r="198" spans="1:196" s="333" customFormat="1" ht="13.8" x14ac:dyDescent="0.25">
      <c r="A198" s="1412"/>
      <c r="B198" s="1412"/>
      <c r="C198" s="1407"/>
      <c r="D198" s="1407"/>
      <c r="E198" s="329"/>
      <c r="F198" s="339" t="s">
        <v>197</v>
      </c>
      <c r="G198" s="340">
        <v>7657</v>
      </c>
      <c r="H198" s="340">
        <v>3200</v>
      </c>
      <c r="I198" s="341">
        <f t="shared" si="25"/>
        <v>-4457</v>
      </c>
      <c r="J198" s="873">
        <f t="shared" si="27"/>
        <v>-0.58208175525662798</v>
      </c>
      <c r="K198" s="425"/>
      <c r="L198" s="470"/>
      <c r="M198" s="1125"/>
      <c r="N198" s="925"/>
      <c r="O198" s="925"/>
      <c r="P198" s="925"/>
      <c r="Q198" s="925"/>
      <c r="R198" s="925"/>
      <c r="S198" s="925"/>
      <c r="T198" s="925"/>
      <c r="U198" s="925"/>
      <c r="V198" s="925"/>
      <c r="W198" s="925"/>
      <c r="X198" s="925"/>
      <c r="Y198" s="925"/>
      <c r="Z198" s="925"/>
      <c r="AA198" s="925"/>
      <c r="AB198" s="925"/>
      <c r="AC198" s="925"/>
      <c r="AD198" s="925"/>
      <c r="AE198" s="925"/>
      <c r="AF198" s="925"/>
      <c r="AG198" s="925"/>
      <c r="AH198" s="925"/>
      <c r="AI198" s="925"/>
      <c r="AJ198" s="925"/>
      <c r="AK198" s="925"/>
      <c r="AL198" s="925"/>
      <c r="AM198" s="925"/>
      <c r="AN198" s="925"/>
      <c r="AO198" s="925"/>
      <c r="AP198" s="925"/>
      <c r="AQ198" s="925"/>
      <c r="AR198" s="925"/>
      <c r="AS198" s="925"/>
      <c r="AT198" s="925"/>
      <c r="AU198" s="925"/>
      <c r="AV198" s="925"/>
      <c r="AW198" s="925"/>
      <c r="AX198" s="925"/>
      <c r="AY198" s="925"/>
      <c r="AZ198" s="925"/>
      <c r="BA198" s="925"/>
      <c r="BB198" s="925"/>
      <c r="BC198" s="925"/>
      <c r="BD198" s="925"/>
      <c r="BE198" s="925"/>
      <c r="BF198" s="925"/>
      <c r="BG198" s="925"/>
      <c r="BH198" s="925"/>
      <c r="BI198" s="925"/>
      <c r="BJ198" s="925"/>
      <c r="BK198" s="925"/>
      <c r="BL198" s="925"/>
      <c r="BM198" s="925"/>
      <c r="BN198" s="925"/>
      <c r="BO198" s="925"/>
      <c r="BP198" s="925"/>
      <c r="BQ198" s="925"/>
      <c r="BR198" s="925"/>
      <c r="BS198" s="925"/>
      <c r="BT198" s="925"/>
      <c r="BU198" s="925"/>
      <c r="BV198" s="925"/>
      <c r="BW198" s="925"/>
      <c r="BX198" s="925"/>
      <c r="BY198" s="925"/>
      <c r="BZ198" s="925"/>
      <c r="CA198" s="925"/>
      <c r="CB198" s="925"/>
      <c r="CC198" s="925"/>
      <c r="CD198" s="925"/>
      <c r="CE198" s="925"/>
      <c r="CF198" s="925"/>
      <c r="CG198" s="925"/>
      <c r="CH198" s="925"/>
      <c r="CI198" s="925"/>
      <c r="CJ198" s="925"/>
      <c r="CK198" s="925"/>
      <c r="CL198" s="925"/>
      <c r="CM198" s="925"/>
      <c r="CN198" s="925"/>
      <c r="CO198" s="925"/>
      <c r="CP198" s="925"/>
      <c r="CQ198" s="925"/>
      <c r="CR198" s="925"/>
      <c r="CS198" s="925"/>
      <c r="CT198" s="925"/>
      <c r="CU198" s="925"/>
      <c r="CV198" s="925"/>
      <c r="CW198" s="925"/>
      <c r="CX198" s="925"/>
      <c r="CY198" s="925"/>
      <c r="CZ198" s="925"/>
      <c r="DA198" s="925"/>
      <c r="DB198" s="925"/>
      <c r="DC198" s="925"/>
      <c r="DD198" s="925"/>
      <c r="DE198" s="925"/>
      <c r="DF198" s="925"/>
      <c r="DG198" s="925"/>
      <c r="DH198" s="925"/>
      <c r="DI198" s="925"/>
      <c r="DJ198" s="925"/>
      <c r="DK198" s="925"/>
      <c r="DL198" s="925"/>
      <c r="DM198" s="925"/>
      <c r="DN198" s="925"/>
      <c r="DO198" s="925"/>
      <c r="DP198" s="925"/>
      <c r="DQ198" s="925"/>
      <c r="DR198" s="925"/>
      <c r="DS198" s="925"/>
      <c r="DT198" s="925"/>
      <c r="DU198" s="925"/>
      <c r="DV198" s="925"/>
      <c r="DW198" s="925"/>
      <c r="DX198" s="925"/>
      <c r="DY198" s="925"/>
      <c r="DZ198" s="925"/>
      <c r="EA198" s="925"/>
      <c r="EB198" s="925"/>
      <c r="EC198" s="925"/>
      <c r="ED198" s="925"/>
      <c r="EE198" s="925"/>
      <c r="EF198" s="925"/>
      <c r="EG198" s="925"/>
      <c r="EH198" s="925"/>
      <c r="EI198" s="925"/>
      <c r="EJ198" s="925"/>
      <c r="EK198" s="925"/>
      <c r="EL198" s="925"/>
      <c r="EM198" s="925"/>
      <c r="EN198" s="925"/>
      <c r="EO198" s="925"/>
      <c r="EP198" s="925"/>
      <c r="EQ198" s="925"/>
      <c r="ER198" s="925"/>
      <c r="ES198" s="925"/>
      <c r="ET198" s="925"/>
      <c r="EU198" s="925"/>
      <c r="EV198" s="925"/>
      <c r="EW198" s="925"/>
      <c r="EX198" s="925"/>
      <c r="EY198" s="925"/>
      <c r="EZ198" s="925"/>
      <c r="FA198" s="925"/>
      <c r="FB198" s="925"/>
      <c r="FC198" s="925"/>
      <c r="FD198" s="925"/>
      <c r="FE198" s="925"/>
      <c r="FF198" s="925"/>
      <c r="FG198" s="925"/>
      <c r="FH198" s="925"/>
      <c r="FI198" s="925"/>
      <c r="FJ198" s="925"/>
      <c r="FK198" s="925"/>
      <c r="FL198" s="925"/>
      <c r="FM198" s="925"/>
      <c r="FN198" s="925"/>
      <c r="FO198" s="925"/>
      <c r="FP198" s="925"/>
      <c r="FQ198" s="925"/>
      <c r="FR198" s="925"/>
      <c r="FS198" s="925"/>
      <c r="FT198" s="925"/>
      <c r="FU198" s="925"/>
      <c r="FV198" s="925"/>
      <c r="FW198" s="925"/>
      <c r="FX198" s="925"/>
      <c r="FY198" s="925"/>
      <c r="FZ198" s="925"/>
      <c r="GA198" s="925"/>
      <c r="GB198" s="925"/>
      <c r="GC198" s="925"/>
      <c r="GD198" s="925"/>
      <c r="GE198" s="925"/>
      <c r="GF198" s="925"/>
      <c r="GG198" s="925"/>
      <c r="GH198" s="925"/>
      <c r="GI198" s="925"/>
      <c r="GJ198" s="925"/>
      <c r="GK198" s="925"/>
      <c r="GL198" s="925"/>
      <c r="GM198" s="925"/>
      <c r="GN198" s="925"/>
    </row>
    <row r="199" spans="1:196" s="517" customFormat="1" ht="13.8" x14ac:dyDescent="0.25">
      <c r="A199" s="810"/>
      <c r="B199" s="810"/>
      <c r="C199" s="923"/>
      <c r="D199" s="923"/>
      <c r="E199" s="519"/>
      <c r="F199" s="520" t="s">
        <v>167</v>
      </c>
      <c r="G199" s="521">
        <v>315752.29119999998</v>
      </c>
      <c r="H199" s="521">
        <v>455676.9</v>
      </c>
      <c r="I199" s="510">
        <f>H199-G199</f>
        <v>139924.60880000005</v>
      </c>
      <c r="J199" s="876">
        <f t="shared" si="27"/>
        <v>0.44314677264327657</v>
      </c>
      <c r="K199" s="522"/>
      <c r="L199" s="507"/>
      <c r="M199" s="409"/>
      <c r="N199" s="408"/>
      <c r="O199" s="408"/>
      <c r="P199" s="408"/>
      <c r="Q199" s="408"/>
      <c r="R199" s="408"/>
      <c r="S199" s="408"/>
      <c r="T199" s="408"/>
      <c r="U199" s="408"/>
      <c r="V199" s="408"/>
      <c r="W199" s="408"/>
      <c r="X199" s="408"/>
      <c r="Y199" s="408"/>
      <c r="Z199" s="408"/>
      <c r="AA199" s="408"/>
      <c r="AB199" s="408"/>
      <c r="AC199" s="408"/>
      <c r="AD199" s="408"/>
      <c r="AE199" s="408"/>
      <c r="AF199" s="408"/>
      <c r="AG199" s="408"/>
      <c r="AH199" s="408"/>
      <c r="AI199" s="408"/>
      <c r="AJ199" s="408"/>
      <c r="AK199" s="408"/>
      <c r="AL199" s="408"/>
      <c r="AM199" s="408"/>
      <c r="AN199" s="408"/>
      <c r="AO199" s="408"/>
      <c r="AP199" s="408"/>
      <c r="AQ199" s="408"/>
      <c r="AR199" s="408"/>
      <c r="AS199" s="408"/>
      <c r="AT199" s="408"/>
      <c r="AU199" s="408"/>
      <c r="AV199" s="408"/>
      <c r="AW199" s="408"/>
      <c r="AX199" s="408"/>
      <c r="AY199" s="408"/>
      <c r="AZ199" s="408"/>
      <c r="BA199" s="408"/>
      <c r="BB199" s="408"/>
      <c r="BC199" s="408"/>
      <c r="BD199" s="408"/>
      <c r="BE199" s="408"/>
      <c r="BF199" s="408"/>
      <c r="BG199" s="408"/>
      <c r="BH199" s="408"/>
      <c r="BI199" s="408"/>
      <c r="BJ199" s="408"/>
      <c r="BK199" s="408"/>
      <c r="BL199" s="408"/>
      <c r="BM199" s="408"/>
      <c r="BN199" s="408"/>
      <c r="BO199" s="408"/>
      <c r="BP199" s="408"/>
      <c r="BQ199" s="408"/>
      <c r="BR199" s="408"/>
      <c r="BS199" s="408"/>
      <c r="BT199" s="408"/>
      <c r="BU199" s="408"/>
      <c r="BV199" s="408"/>
      <c r="BW199" s="408"/>
      <c r="BX199" s="408"/>
      <c r="BY199" s="408"/>
      <c r="BZ199" s="408"/>
      <c r="CA199" s="408"/>
      <c r="CB199" s="408"/>
      <c r="CC199" s="408"/>
      <c r="CD199" s="408"/>
      <c r="CE199" s="408"/>
      <c r="CF199" s="408"/>
      <c r="CG199" s="408"/>
      <c r="CH199" s="408"/>
      <c r="CI199" s="408"/>
      <c r="CJ199" s="408"/>
      <c r="CK199" s="408"/>
      <c r="CL199" s="408"/>
      <c r="CM199" s="408"/>
      <c r="CN199" s="408"/>
      <c r="CO199" s="408"/>
      <c r="CP199" s="408"/>
      <c r="CQ199" s="408"/>
      <c r="CR199" s="408"/>
      <c r="CS199" s="408"/>
      <c r="CT199" s="408"/>
      <c r="CU199" s="408"/>
      <c r="CV199" s="408"/>
      <c r="CW199" s="408"/>
      <c r="CX199" s="408"/>
      <c r="CY199" s="408"/>
      <c r="CZ199" s="408"/>
      <c r="DA199" s="408"/>
      <c r="DB199" s="408"/>
      <c r="DC199" s="408"/>
      <c r="DD199" s="408"/>
      <c r="DE199" s="408"/>
      <c r="DF199" s="408"/>
      <c r="DG199" s="408"/>
      <c r="DH199" s="408"/>
      <c r="DI199" s="408"/>
      <c r="DJ199" s="408"/>
      <c r="DK199" s="408"/>
      <c r="DL199" s="408"/>
      <c r="DM199" s="408"/>
      <c r="DN199" s="408"/>
      <c r="DO199" s="408"/>
      <c r="DP199" s="408"/>
      <c r="DQ199" s="408"/>
      <c r="DR199" s="408"/>
      <c r="DS199" s="408"/>
      <c r="DT199" s="408"/>
      <c r="DU199" s="408"/>
      <c r="DV199" s="408"/>
      <c r="DW199" s="408"/>
      <c r="DX199" s="408"/>
      <c r="DY199" s="408"/>
      <c r="DZ199" s="408"/>
      <c r="EA199" s="408"/>
      <c r="EB199" s="408"/>
      <c r="EC199" s="408"/>
      <c r="ED199" s="408"/>
      <c r="EE199" s="408"/>
      <c r="EF199" s="408"/>
      <c r="EG199" s="408"/>
      <c r="EH199" s="408"/>
      <c r="EI199" s="408"/>
      <c r="EJ199" s="408"/>
      <c r="EK199" s="408"/>
      <c r="EL199" s="408"/>
      <c r="EM199" s="408"/>
      <c r="EN199" s="408"/>
      <c r="EO199" s="408"/>
      <c r="EP199" s="408"/>
      <c r="EQ199" s="408"/>
      <c r="ER199" s="408"/>
      <c r="ES199" s="408"/>
      <c r="ET199" s="408"/>
      <c r="EU199" s="408"/>
      <c r="EV199" s="408"/>
      <c r="EW199" s="408"/>
      <c r="EX199" s="408"/>
      <c r="EY199" s="408"/>
      <c r="EZ199" s="408"/>
      <c r="FA199" s="408"/>
      <c r="FB199" s="408"/>
      <c r="FC199" s="408"/>
      <c r="FD199" s="408"/>
      <c r="FE199" s="408"/>
      <c r="FF199" s="408"/>
      <c r="FG199" s="408"/>
      <c r="FH199" s="408"/>
      <c r="FI199" s="408"/>
      <c r="FJ199" s="408"/>
      <c r="FK199" s="408"/>
      <c r="FL199" s="408"/>
      <c r="FM199" s="408"/>
      <c r="FN199" s="408"/>
      <c r="FO199" s="408"/>
      <c r="FP199" s="408"/>
      <c r="FQ199" s="408"/>
      <c r="FR199" s="408"/>
      <c r="FS199" s="408"/>
      <c r="FT199" s="408"/>
      <c r="FU199" s="408"/>
      <c r="FV199" s="408"/>
      <c r="FW199" s="408"/>
      <c r="FX199" s="408"/>
      <c r="FY199" s="408"/>
      <c r="FZ199" s="408"/>
      <c r="GA199" s="408"/>
      <c r="GB199" s="408"/>
      <c r="GC199" s="408"/>
      <c r="GD199" s="408"/>
      <c r="GE199" s="408"/>
      <c r="GF199" s="408"/>
      <c r="GG199" s="408"/>
      <c r="GH199" s="408"/>
      <c r="GI199" s="408"/>
      <c r="GJ199" s="408"/>
      <c r="GK199" s="408"/>
      <c r="GL199" s="408"/>
      <c r="GM199" s="408"/>
      <c r="GN199" s="408"/>
    </row>
    <row r="200" spans="1:196" s="525" customFormat="1" ht="13.8" x14ac:dyDescent="0.25">
      <c r="A200" s="810"/>
      <c r="B200" s="810"/>
      <c r="C200" s="923"/>
      <c r="D200" s="923"/>
      <c r="E200" s="523"/>
      <c r="F200" s="520" t="s">
        <v>555</v>
      </c>
      <c r="G200" s="505">
        <v>14050</v>
      </c>
      <c r="H200" s="505">
        <v>15000</v>
      </c>
      <c r="I200" s="510">
        <f t="shared" si="25"/>
        <v>950</v>
      </c>
      <c r="J200" s="876">
        <f t="shared" si="27"/>
        <v>6.7615658362989328E-2</v>
      </c>
      <c r="K200" s="524"/>
      <c r="L200" s="507"/>
      <c r="M200" s="1122"/>
      <c r="N200" s="515"/>
      <c r="O200" s="515"/>
      <c r="P200" s="515"/>
      <c r="Q200" s="515"/>
      <c r="R200" s="515"/>
      <c r="S200" s="515"/>
      <c r="T200" s="515"/>
      <c r="U200" s="515"/>
      <c r="V200" s="515"/>
      <c r="W200" s="515"/>
      <c r="X200" s="515"/>
      <c r="Y200" s="515"/>
      <c r="Z200" s="515"/>
      <c r="AA200" s="515"/>
      <c r="AB200" s="515"/>
      <c r="AC200" s="515"/>
      <c r="AD200" s="515"/>
      <c r="AE200" s="515"/>
      <c r="AF200" s="515"/>
      <c r="AG200" s="515"/>
      <c r="AH200" s="515"/>
      <c r="AI200" s="515"/>
      <c r="AJ200" s="515"/>
      <c r="AK200" s="515"/>
      <c r="AL200" s="515"/>
      <c r="AM200" s="515"/>
      <c r="AN200" s="515"/>
      <c r="AO200" s="515"/>
      <c r="AP200" s="515"/>
      <c r="AQ200" s="515"/>
      <c r="AR200" s="515"/>
      <c r="AS200" s="515"/>
      <c r="AT200" s="515"/>
      <c r="AU200" s="515"/>
      <c r="AV200" s="515"/>
      <c r="AW200" s="515"/>
      <c r="AX200" s="515"/>
      <c r="AY200" s="515"/>
      <c r="AZ200" s="515"/>
      <c r="BA200" s="515"/>
      <c r="BB200" s="515"/>
      <c r="BC200" s="515"/>
      <c r="BD200" s="515"/>
      <c r="BE200" s="515"/>
      <c r="BF200" s="515"/>
      <c r="BG200" s="515"/>
      <c r="BH200" s="515"/>
      <c r="BI200" s="515"/>
      <c r="BJ200" s="515"/>
      <c r="BK200" s="515"/>
      <c r="BL200" s="515"/>
      <c r="BM200" s="515"/>
      <c r="BN200" s="515"/>
      <c r="BO200" s="515"/>
      <c r="BP200" s="515"/>
      <c r="BQ200" s="515"/>
      <c r="BR200" s="515"/>
      <c r="BS200" s="515"/>
      <c r="BT200" s="515"/>
      <c r="BU200" s="515"/>
      <c r="BV200" s="515"/>
      <c r="BW200" s="515"/>
      <c r="BX200" s="515"/>
      <c r="BY200" s="515"/>
      <c r="BZ200" s="515"/>
      <c r="CA200" s="515"/>
      <c r="CB200" s="515"/>
      <c r="CC200" s="515"/>
      <c r="CD200" s="515"/>
      <c r="CE200" s="515"/>
      <c r="CF200" s="515"/>
      <c r="CG200" s="515"/>
      <c r="CH200" s="515"/>
      <c r="CI200" s="515"/>
      <c r="CJ200" s="515"/>
      <c r="CK200" s="515"/>
      <c r="CL200" s="515"/>
      <c r="CM200" s="515"/>
      <c r="CN200" s="515"/>
      <c r="CO200" s="515"/>
      <c r="CP200" s="515"/>
      <c r="CQ200" s="515"/>
      <c r="CR200" s="515"/>
      <c r="CS200" s="515"/>
      <c r="CT200" s="515"/>
      <c r="CU200" s="515"/>
      <c r="CV200" s="515"/>
      <c r="CW200" s="515"/>
      <c r="CX200" s="515"/>
      <c r="CY200" s="515"/>
      <c r="CZ200" s="515"/>
      <c r="DA200" s="515"/>
      <c r="DB200" s="515"/>
      <c r="DC200" s="515"/>
      <c r="DD200" s="515"/>
      <c r="DE200" s="515"/>
      <c r="DF200" s="515"/>
      <c r="DG200" s="515"/>
      <c r="DH200" s="515"/>
      <c r="DI200" s="515"/>
      <c r="DJ200" s="515"/>
      <c r="DK200" s="515"/>
      <c r="DL200" s="515"/>
      <c r="DM200" s="515"/>
      <c r="DN200" s="515"/>
      <c r="DO200" s="515"/>
      <c r="DP200" s="515"/>
      <c r="DQ200" s="515"/>
      <c r="DR200" s="515"/>
      <c r="DS200" s="515"/>
      <c r="DT200" s="515"/>
      <c r="DU200" s="515"/>
      <c r="DV200" s="515"/>
      <c r="DW200" s="515"/>
      <c r="DX200" s="515"/>
      <c r="DY200" s="515"/>
      <c r="DZ200" s="515"/>
      <c r="EA200" s="515"/>
      <c r="EB200" s="515"/>
      <c r="EC200" s="515"/>
      <c r="ED200" s="515"/>
      <c r="EE200" s="515"/>
      <c r="EF200" s="515"/>
      <c r="EG200" s="515"/>
      <c r="EH200" s="515"/>
      <c r="EI200" s="515"/>
      <c r="EJ200" s="515"/>
      <c r="EK200" s="515"/>
      <c r="EL200" s="515"/>
      <c r="EM200" s="515"/>
      <c r="EN200" s="515"/>
      <c r="EO200" s="515"/>
      <c r="EP200" s="515"/>
      <c r="EQ200" s="515"/>
      <c r="ER200" s="515"/>
      <c r="ES200" s="515"/>
      <c r="ET200" s="515"/>
      <c r="EU200" s="515"/>
      <c r="EV200" s="515"/>
      <c r="EW200" s="515"/>
      <c r="EX200" s="515"/>
      <c r="EY200" s="515"/>
      <c r="EZ200" s="515"/>
      <c r="FA200" s="515"/>
      <c r="FB200" s="515"/>
      <c r="FC200" s="515"/>
      <c r="FD200" s="515"/>
      <c r="FE200" s="515"/>
      <c r="FF200" s="515"/>
      <c r="FG200" s="515"/>
      <c r="FH200" s="515"/>
      <c r="FI200" s="515"/>
      <c r="FJ200" s="515"/>
      <c r="FK200" s="515"/>
      <c r="FL200" s="515"/>
      <c r="FM200" s="515"/>
      <c r="FN200" s="515"/>
      <c r="FO200" s="515"/>
      <c r="FP200" s="515"/>
      <c r="FQ200" s="515"/>
      <c r="FR200" s="515"/>
      <c r="FS200" s="515"/>
      <c r="FT200" s="515"/>
      <c r="FU200" s="515"/>
      <c r="FV200" s="515"/>
      <c r="FW200" s="515"/>
      <c r="FX200" s="515"/>
      <c r="FY200" s="515"/>
      <c r="FZ200" s="515"/>
      <c r="GA200" s="515"/>
      <c r="GB200" s="515"/>
      <c r="GC200" s="515"/>
      <c r="GD200" s="515"/>
      <c r="GE200" s="515"/>
      <c r="GF200" s="515"/>
      <c r="GG200" s="515"/>
      <c r="GH200" s="515"/>
      <c r="GI200" s="515"/>
      <c r="GJ200" s="515"/>
      <c r="GK200" s="515"/>
      <c r="GL200" s="515"/>
      <c r="GM200" s="515"/>
      <c r="GN200" s="515"/>
    </row>
    <row r="201" spans="1:196" s="525" customFormat="1" ht="13.8" x14ac:dyDescent="0.25">
      <c r="A201" s="810"/>
      <c r="B201" s="810"/>
      <c r="C201" s="923"/>
      <c r="D201" s="923"/>
      <c r="E201" s="523"/>
      <c r="F201" s="520" t="s">
        <v>353</v>
      </c>
      <c r="G201" s="505">
        <v>400710</v>
      </c>
      <c r="H201" s="505">
        <v>491760</v>
      </c>
      <c r="I201" s="510">
        <f>H201-G201</f>
        <v>91050</v>
      </c>
      <c r="J201" s="876">
        <f t="shared" si="27"/>
        <v>0.22722168151531033</v>
      </c>
      <c r="K201" s="526"/>
      <c r="L201" s="507"/>
      <c r="M201" s="1122"/>
      <c r="N201" s="515"/>
      <c r="O201" s="515"/>
      <c r="P201" s="515"/>
      <c r="Q201" s="515"/>
      <c r="R201" s="515"/>
      <c r="S201" s="515"/>
      <c r="T201" s="515"/>
      <c r="U201" s="515"/>
      <c r="V201" s="515"/>
      <c r="W201" s="515"/>
      <c r="X201" s="515"/>
      <c r="Y201" s="515"/>
      <c r="Z201" s="515"/>
      <c r="AA201" s="515"/>
      <c r="AB201" s="515"/>
      <c r="AC201" s="515"/>
      <c r="AD201" s="515"/>
      <c r="AE201" s="515"/>
      <c r="AF201" s="515"/>
      <c r="AG201" s="515"/>
      <c r="AH201" s="515"/>
      <c r="AI201" s="515"/>
      <c r="AJ201" s="515"/>
      <c r="AK201" s="515"/>
      <c r="AL201" s="515"/>
      <c r="AM201" s="515"/>
      <c r="AN201" s="515"/>
      <c r="AO201" s="515"/>
      <c r="AP201" s="515"/>
      <c r="AQ201" s="515"/>
      <c r="AR201" s="515"/>
      <c r="AS201" s="515"/>
      <c r="AT201" s="515"/>
      <c r="AU201" s="515"/>
      <c r="AV201" s="515"/>
      <c r="AW201" s="515"/>
      <c r="AX201" s="515"/>
      <c r="AY201" s="515"/>
      <c r="AZ201" s="515"/>
      <c r="BA201" s="515"/>
      <c r="BB201" s="515"/>
      <c r="BC201" s="515"/>
      <c r="BD201" s="515"/>
      <c r="BE201" s="515"/>
      <c r="BF201" s="515"/>
      <c r="BG201" s="515"/>
      <c r="BH201" s="515"/>
      <c r="BI201" s="515"/>
      <c r="BJ201" s="515"/>
      <c r="BK201" s="515"/>
      <c r="BL201" s="515"/>
      <c r="BM201" s="515"/>
      <c r="BN201" s="515"/>
      <c r="BO201" s="515"/>
      <c r="BP201" s="515"/>
      <c r="BQ201" s="515"/>
      <c r="BR201" s="515"/>
      <c r="BS201" s="515"/>
      <c r="BT201" s="515"/>
      <c r="BU201" s="515"/>
      <c r="BV201" s="515"/>
      <c r="BW201" s="515"/>
      <c r="BX201" s="515"/>
      <c r="BY201" s="515"/>
      <c r="BZ201" s="515"/>
      <c r="CA201" s="515"/>
      <c r="CB201" s="515"/>
      <c r="CC201" s="515"/>
      <c r="CD201" s="515"/>
      <c r="CE201" s="515"/>
      <c r="CF201" s="515"/>
      <c r="CG201" s="515"/>
      <c r="CH201" s="515"/>
      <c r="CI201" s="515"/>
      <c r="CJ201" s="515"/>
      <c r="CK201" s="515"/>
      <c r="CL201" s="515"/>
      <c r="CM201" s="515"/>
      <c r="CN201" s="515"/>
      <c r="CO201" s="515"/>
      <c r="CP201" s="515"/>
      <c r="CQ201" s="515"/>
      <c r="CR201" s="515"/>
      <c r="CS201" s="515"/>
      <c r="CT201" s="515"/>
      <c r="CU201" s="515"/>
      <c r="CV201" s="515"/>
      <c r="CW201" s="515"/>
      <c r="CX201" s="515"/>
      <c r="CY201" s="515"/>
      <c r="CZ201" s="515"/>
      <c r="DA201" s="515"/>
      <c r="DB201" s="515"/>
      <c r="DC201" s="515"/>
      <c r="DD201" s="515"/>
      <c r="DE201" s="515"/>
      <c r="DF201" s="515"/>
      <c r="DG201" s="515"/>
      <c r="DH201" s="515"/>
      <c r="DI201" s="515"/>
      <c r="DJ201" s="515"/>
      <c r="DK201" s="515"/>
      <c r="DL201" s="515"/>
      <c r="DM201" s="515"/>
      <c r="DN201" s="515"/>
      <c r="DO201" s="515"/>
      <c r="DP201" s="515"/>
      <c r="DQ201" s="515"/>
      <c r="DR201" s="515"/>
      <c r="DS201" s="515"/>
      <c r="DT201" s="515"/>
      <c r="DU201" s="515"/>
      <c r="DV201" s="515"/>
      <c r="DW201" s="515"/>
      <c r="DX201" s="515"/>
      <c r="DY201" s="515"/>
      <c r="DZ201" s="515"/>
      <c r="EA201" s="515"/>
      <c r="EB201" s="515"/>
      <c r="EC201" s="515"/>
      <c r="ED201" s="515"/>
      <c r="EE201" s="515"/>
      <c r="EF201" s="515"/>
      <c r="EG201" s="515"/>
      <c r="EH201" s="515"/>
      <c r="EI201" s="515"/>
      <c r="EJ201" s="515"/>
      <c r="EK201" s="515"/>
      <c r="EL201" s="515"/>
      <c r="EM201" s="515"/>
      <c r="EN201" s="515"/>
      <c r="EO201" s="515"/>
      <c r="EP201" s="515"/>
      <c r="EQ201" s="515"/>
      <c r="ER201" s="515"/>
      <c r="ES201" s="515"/>
      <c r="ET201" s="515"/>
      <c r="EU201" s="515"/>
      <c r="EV201" s="515"/>
      <c r="EW201" s="515"/>
      <c r="EX201" s="515"/>
      <c r="EY201" s="515"/>
      <c r="EZ201" s="515"/>
      <c r="FA201" s="515"/>
      <c r="FB201" s="515"/>
      <c r="FC201" s="515"/>
      <c r="FD201" s="515"/>
      <c r="FE201" s="515"/>
      <c r="FF201" s="515"/>
      <c r="FG201" s="515"/>
      <c r="FH201" s="515"/>
      <c r="FI201" s="515"/>
      <c r="FJ201" s="515"/>
      <c r="FK201" s="515"/>
      <c r="FL201" s="515"/>
      <c r="FM201" s="515"/>
      <c r="FN201" s="515"/>
      <c r="FO201" s="515"/>
      <c r="FP201" s="515"/>
      <c r="FQ201" s="515"/>
      <c r="FR201" s="515"/>
      <c r="FS201" s="515"/>
      <c r="FT201" s="515"/>
      <c r="FU201" s="515"/>
      <c r="FV201" s="515"/>
      <c r="FW201" s="515"/>
      <c r="FX201" s="515"/>
      <c r="FY201" s="515"/>
      <c r="FZ201" s="515"/>
      <c r="GA201" s="515"/>
      <c r="GB201" s="515"/>
      <c r="GC201" s="515"/>
      <c r="GD201" s="515"/>
      <c r="GE201" s="515"/>
      <c r="GF201" s="515"/>
      <c r="GG201" s="515"/>
      <c r="GH201" s="515"/>
      <c r="GI201" s="515"/>
      <c r="GJ201" s="515"/>
      <c r="GK201" s="515"/>
      <c r="GL201" s="515"/>
      <c r="GM201" s="515"/>
      <c r="GN201" s="515"/>
    </row>
    <row r="202" spans="1:196" ht="13.8" x14ac:dyDescent="0.25">
      <c r="C202" s="923">
        <f>1895442-C223-G207-G208-G209</f>
        <v>1569770.7087999999</v>
      </c>
      <c r="D202" s="923">
        <f>C202-G202</f>
        <v>391212.76</v>
      </c>
      <c r="E202" s="141" t="s">
        <v>25</v>
      </c>
      <c r="F202" s="142" t="s">
        <v>212</v>
      </c>
      <c r="G202" s="302">
        <v>1178557.9487999999</v>
      </c>
      <c r="H202" s="302">
        <v>1743109.2481999998</v>
      </c>
      <c r="I202" s="132">
        <f t="shared" si="25"/>
        <v>564551.2993999999</v>
      </c>
      <c r="J202" s="867">
        <f t="shared" si="27"/>
        <v>0.47901870245313127</v>
      </c>
      <c r="K202" s="418"/>
      <c r="L202" s="224"/>
    </row>
    <row r="203" spans="1:196" s="104" customFormat="1" ht="13.8" hidden="1" outlineLevel="1" x14ac:dyDescent="0.25">
      <c r="A203" s="810" t="s">
        <v>773</v>
      </c>
      <c r="B203" s="810" t="s">
        <v>228</v>
      </c>
      <c r="C203" s="923"/>
      <c r="D203" s="923">
        <f>D202-D205</f>
        <v>15392.760000000009</v>
      </c>
      <c r="E203" s="159"/>
      <c r="F203" s="160" t="s">
        <v>228</v>
      </c>
      <c r="G203" s="304">
        <v>451697.70880000002</v>
      </c>
      <c r="H203" s="304">
        <v>474001.24819999991</v>
      </c>
      <c r="I203" s="153">
        <f t="shared" si="25"/>
        <v>22303.539399999892</v>
      </c>
      <c r="J203" s="878">
        <f t="shared" si="27"/>
        <v>4.9377136446524056E-2</v>
      </c>
      <c r="K203" s="430" t="s">
        <v>1579</v>
      </c>
      <c r="L203" s="224"/>
      <c r="M203" s="107"/>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row>
    <row r="204" spans="1:196" s="104" customFormat="1" ht="69" hidden="1" outlineLevel="1" x14ac:dyDescent="0.25">
      <c r="A204" s="810" t="s">
        <v>773</v>
      </c>
      <c r="B204" s="810" t="s">
        <v>554</v>
      </c>
      <c r="C204" s="923"/>
      <c r="D204" s="923"/>
      <c r="E204" s="214"/>
      <c r="F204" s="215" t="s">
        <v>198</v>
      </c>
      <c r="G204" s="304">
        <v>60676.24</v>
      </c>
      <c r="H204" s="304">
        <v>83818</v>
      </c>
      <c r="I204" s="153">
        <f t="shared" si="25"/>
        <v>23141.760000000002</v>
      </c>
      <c r="J204" s="878">
        <f t="shared" si="27"/>
        <v>0.38139739707008874</v>
      </c>
      <c r="K204" s="421" t="s">
        <v>1647</v>
      </c>
      <c r="L204" s="224"/>
      <c r="M204" s="107"/>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row>
    <row r="205" spans="1:196" s="104" customFormat="1" ht="27.6" hidden="1" outlineLevel="1" x14ac:dyDescent="0.25">
      <c r="A205" s="810" t="s">
        <v>773</v>
      </c>
      <c r="B205" s="810" t="s">
        <v>186</v>
      </c>
      <c r="C205" s="923">
        <v>1042004</v>
      </c>
      <c r="D205" s="923">
        <f>C205-G205</f>
        <v>375820</v>
      </c>
      <c r="E205" s="159"/>
      <c r="F205" s="160" t="s">
        <v>186</v>
      </c>
      <c r="G205" s="307">
        <v>666184</v>
      </c>
      <c r="H205" s="307">
        <v>1183990</v>
      </c>
      <c r="I205" s="153">
        <f t="shared" si="25"/>
        <v>517806</v>
      </c>
      <c r="J205" s="878">
        <f t="shared" si="27"/>
        <v>0.77727174474319405</v>
      </c>
      <c r="K205" s="1151" t="s">
        <v>1282</v>
      </c>
      <c r="L205" s="224"/>
      <c r="M205" s="107"/>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row>
    <row r="206" spans="1:196" s="104" customFormat="1" ht="13.8" hidden="1" outlineLevel="1" x14ac:dyDescent="0.25">
      <c r="A206" s="810" t="s">
        <v>773</v>
      </c>
      <c r="B206" s="810" t="s">
        <v>556</v>
      </c>
      <c r="C206" s="923"/>
      <c r="D206" s="923"/>
      <c r="E206" s="159"/>
      <c r="F206" s="160" t="s">
        <v>197</v>
      </c>
      <c r="G206" s="304">
        <v>0</v>
      </c>
      <c r="H206" s="304">
        <v>1300</v>
      </c>
      <c r="I206" s="153">
        <f t="shared" si="25"/>
        <v>1300</v>
      </c>
      <c r="J206" s="878" t="str">
        <f t="shared" si="27"/>
        <v>-</v>
      </c>
      <c r="K206" s="430"/>
      <c r="L206" s="224"/>
      <c r="M206" s="107"/>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row>
    <row r="207" spans="1:196" s="525" customFormat="1" ht="13.8" hidden="1" outlineLevel="1" x14ac:dyDescent="0.25">
      <c r="A207" s="1415" t="s">
        <v>773</v>
      </c>
      <c r="B207" s="1415" t="s">
        <v>182</v>
      </c>
      <c r="C207" s="1416">
        <v>21712</v>
      </c>
      <c r="D207" s="1416">
        <f>C207-G207</f>
        <v>-0.2911999999996624</v>
      </c>
      <c r="E207" s="528"/>
      <c r="F207" s="520" t="s">
        <v>167</v>
      </c>
      <c r="G207" s="301">
        <v>21712.2912</v>
      </c>
      <c r="H207" s="505">
        <v>25953.9</v>
      </c>
      <c r="I207" s="510">
        <f t="shared" si="25"/>
        <v>4241.6088000000018</v>
      </c>
      <c r="J207" s="876">
        <f t="shared" si="27"/>
        <v>0.19535519125683068</v>
      </c>
      <c r="K207" s="1421"/>
      <c r="L207" s="1417"/>
      <c r="M207" s="1122"/>
      <c r="N207" s="515"/>
      <c r="O207" s="515"/>
      <c r="P207" s="515"/>
      <c r="Q207" s="515"/>
      <c r="R207" s="515"/>
      <c r="S207" s="515"/>
      <c r="T207" s="515"/>
      <c r="U207" s="515"/>
      <c r="V207" s="515"/>
      <c r="W207" s="515"/>
      <c r="X207" s="515"/>
      <c r="Y207" s="515"/>
      <c r="Z207" s="515"/>
      <c r="AA207" s="515"/>
      <c r="AB207" s="515"/>
      <c r="AC207" s="515"/>
      <c r="AD207" s="515"/>
      <c r="AE207" s="515"/>
      <c r="AF207" s="515"/>
      <c r="AG207" s="515"/>
      <c r="AH207" s="515"/>
      <c r="AI207" s="515"/>
      <c r="AJ207" s="515"/>
      <c r="AK207" s="515"/>
      <c r="AL207" s="515"/>
      <c r="AM207" s="515"/>
      <c r="AN207" s="515"/>
      <c r="AO207" s="515"/>
      <c r="AP207" s="515"/>
      <c r="AQ207" s="515"/>
      <c r="AR207" s="515"/>
      <c r="AS207" s="515"/>
      <c r="AT207" s="515"/>
      <c r="AU207" s="515"/>
      <c r="AV207" s="515"/>
      <c r="AW207" s="515"/>
      <c r="AX207" s="515"/>
      <c r="AY207" s="515"/>
      <c r="AZ207" s="515"/>
      <c r="BA207" s="515"/>
      <c r="BB207" s="515"/>
      <c r="BC207" s="515"/>
      <c r="BD207" s="515"/>
      <c r="BE207" s="515"/>
      <c r="BF207" s="515"/>
      <c r="BG207" s="515"/>
      <c r="BH207" s="515"/>
      <c r="BI207" s="515"/>
      <c r="BJ207" s="515"/>
      <c r="BK207" s="515"/>
      <c r="BL207" s="515"/>
      <c r="BM207" s="515"/>
      <c r="BN207" s="515"/>
      <c r="BO207" s="515"/>
      <c r="BP207" s="515"/>
      <c r="BQ207" s="515"/>
      <c r="BR207" s="515"/>
      <c r="BS207" s="515"/>
      <c r="BT207" s="515"/>
      <c r="BU207" s="515"/>
      <c r="BV207" s="515"/>
      <c r="BW207" s="515"/>
      <c r="BX207" s="515"/>
      <c r="BY207" s="515"/>
      <c r="BZ207" s="515"/>
      <c r="CA207" s="515"/>
      <c r="CB207" s="515"/>
      <c r="CC207" s="515"/>
      <c r="CD207" s="515"/>
      <c r="CE207" s="515"/>
      <c r="CF207" s="515"/>
      <c r="CG207" s="515"/>
      <c r="CH207" s="515"/>
      <c r="CI207" s="515"/>
      <c r="CJ207" s="515"/>
      <c r="CK207" s="515"/>
      <c r="CL207" s="515"/>
      <c r="CM207" s="515"/>
      <c r="CN207" s="515"/>
      <c r="CO207" s="515"/>
      <c r="CP207" s="515"/>
      <c r="CQ207" s="515"/>
      <c r="CR207" s="515"/>
      <c r="CS207" s="515"/>
      <c r="CT207" s="515"/>
      <c r="CU207" s="515"/>
      <c r="CV207" s="515"/>
      <c r="CW207" s="515"/>
      <c r="CX207" s="515"/>
      <c r="CY207" s="515"/>
      <c r="CZ207" s="515"/>
      <c r="DA207" s="515"/>
      <c r="DB207" s="515"/>
      <c r="DC207" s="515"/>
      <c r="DD207" s="515"/>
      <c r="DE207" s="515"/>
      <c r="DF207" s="515"/>
      <c r="DG207" s="515"/>
      <c r="DH207" s="515"/>
      <c r="DI207" s="515"/>
      <c r="DJ207" s="515"/>
      <c r="DK207" s="515"/>
      <c r="DL207" s="515"/>
      <c r="DM207" s="515"/>
      <c r="DN207" s="515"/>
      <c r="DO207" s="515"/>
      <c r="DP207" s="515"/>
      <c r="DQ207" s="515"/>
      <c r="DR207" s="515"/>
      <c r="DS207" s="515"/>
      <c r="DT207" s="515"/>
      <c r="DU207" s="515"/>
      <c r="DV207" s="515"/>
      <c r="DW207" s="515"/>
      <c r="DX207" s="515"/>
      <c r="DY207" s="515"/>
      <c r="DZ207" s="515"/>
      <c r="EA207" s="515"/>
      <c r="EB207" s="515"/>
      <c r="EC207" s="515"/>
      <c r="ED207" s="515"/>
      <c r="EE207" s="515"/>
      <c r="EF207" s="515"/>
      <c r="EG207" s="515"/>
      <c r="EH207" s="515"/>
      <c r="EI207" s="515"/>
      <c r="EJ207" s="515"/>
      <c r="EK207" s="515"/>
      <c r="EL207" s="515"/>
      <c r="EM207" s="515"/>
      <c r="EN207" s="515"/>
      <c r="EO207" s="515"/>
      <c r="EP207" s="515"/>
      <c r="EQ207" s="515"/>
      <c r="ER207" s="515"/>
      <c r="ES207" s="515"/>
      <c r="ET207" s="515"/>
      <c r="EU207" s="515"/>
      <c r="EV207" s="515"/>
      <c r="EW207" s="515"/>
      <c r="EX207" s="515"/>
      <c r="EY207" s="515"/>
      <c r="EZ207" s="515"/>
      <c r="FA207" s="515"/>
      <c r="FB207" s="515"/>
      <c r="FC207" s="515"/>
      <c r="FD207" s="515"/>
      <c r="FE207" s="515"/>
      <c r="FF207" s="515"/>
      <c r="FG207" s="515"/>
      <c r="FH207" s="515"/>
      <c r="FI207" s="515"/>
      <c r="FJ207" s="515"/>
      <c r="FK207" s="515"/>
      <c r="FL207" s="515"/>
      <c r="FM207" s="515"/>
      <c r="FN207" s="515"/>
      <c r="FO207" s="515"/>
      <c r="FP207" s="515"/>
      <c r="FQ207" s="515"/>
      <c r="FR207" s="515"/>
      <c r="FS207" s="515"/>
      <c r="FT207" s="515"/>
      <c r="FU207" s="515"/>
      <c r="FV207" s="515"/>
      <c r="FW207" s="515"/>
      <c r="FX207" s="515"/>
      <c r="FY207" s="515"/>
      <c r="FZ207" s="515"/>
      <c r="GA207" s="515"/>
      <c r="GB207" s="515"/>
      <c r="GC207" s="515"/>
      <c r="GD207" s="515"/>
      <c r="GE207" s="515"/>
      <c r="GF207" s="515"/>
      <c r="GG207" s="515"/>
      <c r="GH207" s="515"/>
      <c r="GI207" s="515"/>
      <c r="GJ207" s="515"/>
      <c r="GK207" s="515"/>
      <c r="GL207" s="515"/>
      <c r="GM207" s="515"/>
      <c r="GN207" s="515"/>
    </row>
    <row r="208" spans="1:196" s="525" customFormat="1" ht="13.8" hidden="1" outlineLevel="1" x14ac:dyDescent="0.25">
      <c r="A208" s="1415" t="s">
        <v>773</v>
      </c>
      <c r="B208" s="1415" t="s">
        <v>555</v>
      </c>
      <c r="C208" s="1416"/>
      <c r="D208" s="1416"/>
      <c r="E208" s="523"/>
      <c r="F208" s="520" t="s">
        <v>555</v>
      </c>
      <c r="G208" s="301">
        <v>14050</v>
      </c>
      <c r="H208" s="505">
        <v>15000</v>
      </c>
      <c r="I208" s="510">
        <f t="shared" si="25"/>
        <v>950</v>
      </c>
      <c r="J208" s="876">
        <f t="shared" si="27"/>
        <v>6.7615658362989328E-2</v>
      </c>
      <c r="K208" s="526"/>
      <c r="L208" s="1417"/>
      <c r="M208" s="1122"/>
      <c r="N208" s="515"/>
      <c r="O208" s="515"/>
      <c r="P208" s="515"/>
      <c r="Q208" s="515"/>
      <c r="R208" s="515"/>
      <c r="S208" s="515"/>
      <c r="T208" s="515"/>
      <c r="U208" s="515"/>
      <c r="V208" s="515"/>
      <c r="W208" s="515"/>
      <c r="X208" s="515"/>
      <c r="Y208" s="515"/>
      <c r="Z208" s="515"/>
      <c r="AA208" s="515"/>
      <c r="AB208" s="515"/>
      <c r="AC208" s="515"/>
      <c r="AD208" s="515"/>
      <c r="AE208" s="515"/>
      <c r="AF208" s="515"/>
      <c r="AG208" s="515"/>
      <c r="AH208" s="515"/>
      <c r="AI208" s="515"/>
      <c r="AJ208" s="515"/>
      <c r="AK208" s="515"/>
      <c r="AL208" s="515"/>
      <c r="AM208" s="515"/>
      <c r="AN208" s="515"/>
      <c r="AO208" s="515"/>
      <c r="AP208" s="515"/>
      <c r="AQ208" s="515"/>
      <c r="AR208" s="515"/>
      <c r="AS208" s="515"/>
      <c r="AT208" s="515"/>
      <c r="AU208" s="515"/>
      <c r="AV208" s="515"/>
      <c r="AW208" s="515"/>
      <c r="AX208" s="515"/>
      <c r="AY208" s="515"/>
      <c r="AZ208" s="515"/>
      <c r="BA208" s="515"/>
      <c r="BB208" s="515"/>
      <c r="BC208" s="515"/>
      <c r="BD208" s="515"/>
      <c r="BE208" s="515"/>
      <c r="BF208" s="515"/>
      <c r="BG208" s="515"/>
      <c r="BH208" s="515"/>
      <c r="BI208" s="515"/>
      <c r="BJ208" s="515"/>
      <c r="BK208" s="515"/>
      <c r="BL208" s="515"/>
      <c r="BM208" s="515"/>
      <c r="BN208" s="515"/>
      <c r="BO208" s="515"/>
      <c r="BP208" s="515"/>
      <c r="BQ208" s="515"/>
      <c r="BR208" s="515"/>
      <c r="BS208" s="515"/>
      <c r="BT208" s="515"/>
      <c r="BU208" s="515"/>
      <c r="BV208" s="515"/>
      <c r="BW208" s="515"/>
      <c r="BX208" s="515"/>
      <c r="BY208" s="515"/>
      <c r="BZ208" s="515"/>
      <c r="CA208" s="515"/>
      <c r="CB208" s="515"/>
      <c r="CC208" s="515"/>
      <c r="CD208" s="515"/>
      <c r="CE208" s="515"/>
      <c r="CF208" s="515"/>
      <c r="CG208" s="515"/>
      <c r="CH208" s="515"/>
      <c r="CI208" s="515"/>
      <c r="CJ208" s="515"/>
      <c r="CK208" s="515"/>
      <c r="CL208" s="515"/>
      <c r="CM208" s="515"/>
      <c r="CN208" s="515"/>
      <c r="CO208" s="515"/>
      <c r="CP208" s="515"/>
      <c r="CQ208" s="515"/>
      <c r="CR208" s="515"/>
      <c r="CS208" s="515"/>
      <c r="CT208" s="515"/>
      <c r="CU208" s="515"/>
      <c r="CV208" s="515"/>
      <c r="CW208" s="515"/>
      <c r="CX208" s="515"/>
      <c r="CY208" s="515"/>
      <c r="CZ208" s="515"/>
      <c r="DA208" s="515"/>
      <c r="DB208" s="515"/>
      <c r="DC208" s="515"/>
      <c r="DD208" s="515"/>
      <c r="DE208" s="515"/>
      <c r="DF208" s="515"/>
      <c r="DG208" s="515"/>
      <c r="DH208" s="515"/>
      <c r="DI208" s="515"/>
      <c r="DJ208" s="515"/>
      <c r="DK208" s="515"/>
      <c r="DL208" s="515"/>
      <c r="DM208" s="515"/>
      <c r="DN208" s="515"/>
      <c r="DO208" s="515"/>
      <c r="DP208" s="515"/>
      <c r="DQ208" s="515"/>
      <c r="DR208" s="515"/>
      <c r="DS208" s="515"/>
      <c r="DT208" s="515"/>
      <c r="DU208" s="515"/>
      <c r="DV208" s="515"/>
      <c r="DW208" s="515"/>
      <c r="DX208" s="515"/>
      <c r="DY208" s="515"/>
      <c r="DZ208" s="515"/>
      <c r="EA208" s="515"/>
      <c r="EB208" s="515"/>
      <c r="EC208" s="515"/>
      <c r="ED208" s="515"/>
      <c r="EE208" s="515"/>
      <c r="EF208" s="515"/>
      <c r="EG208" s="515"/>
      <c r="EH208" s="515"/>
      <c r="EI208" s="515"/>
      <c r="EJ208" s="515"/>
      <c r="EK208" s="515"/>
      <c r="EL208" s="515"/>
      <c r="EM208" s="515"/>
      <c r="EN208" s="515"/>
      <c r="EO208" s="515"/>
      <c r="EP208" s="515"/>
      <c r="EQ208" s="515"/>
      <c r="ER208" s="515"/>
      <c r="ES208" s="515"/>
      <c r="ET208" s="515"/>
      <c r="EU208" s="515"/>
      <c r="EV208" s="515"/>
      <c r="EW208" s="515"/>
      <c r="EX208" s="515"/>
      <c r="EY208" s="515"/>
      <c r="EZ208" s="515"/>
      <c r="FA208" s="515"/>
      <c r="FB208" s="515"/>
      <c r="FC208" s="515"/>
      <c r="FD208" s="515"/>
      <c r="FE208" s="515"/>
      <c r="FF208" s="515"/>
      <c r="FG208" s="515"/>
      <c r="FH208" s="515"/>
      <c r="FI208" s="515"/>
      <c r="FJ208" s="515"/>
      <c r="FK208" s="515"/>
      <c r="FL208" s="515"/>
      <c r="FM208" s="515"/>
      <c r="FN208" s="515"/>
      <c r="FO208" s="515"/>
      <c r="FP208" s="515"/>
      <c r="FQ208" s="515"/>
      <c r="FR208" s="515"/>
      <c r="FS208" s="515"/>
      <c r="FT208" s="515"/>
      <c r="FU208" s="515"/>
      <c r="FV208" s="515"/>
      <c r="FW208" s="515"/>
      <c r="FX208" s="515"/>
      <c r="FY208" s="515"/>
      <c r="FZ208" s="515"/>
      <c r="GA208" s="515"/>
      <c r="GB208" s="515"/>
      <c r="GC208" s="515"/>
      <c r="GD208" s="515"/>
      <c r="GE208" s="515"/>
      <c r="GF208" s="515"/>
      <c r="GG208" s="515"/>
      <c r="GH208" s="515"/>
      <c r="GI208" s="515"/>
      <c r="GJ208" s="515"/>
      <c r="GK208" s="515"/>
      <c r="GL208" s="515"/>
      <c r="GM208" s="515"/>
      <c r="GN208" s="515"/>
    </row>
    <row r="209" spans="1:196" s="515" customFormat="1" ht="13.8" hidden="1" outlineLevel="1" x14ac:dyDescent="0.25">
      <c r="A209" s="1415" t="s">
        <v>774</v>
      </c>
      <c r="B209" s="1415" t="s">
        <v>182</v>
      </c>
      <c r="C209" s="1416">
        <f>285409</f>
        <v>285409</v>
      </c>
      <c r="D209" s="1416">
        <f>C209-G209</f>
        <v>0</v>
      </c>
      <c r="E209" s="523" t="s">
        <v>26</v>
      </c>
      <c r="F209" s="1430" t="s">
        <v>188</v>
      </c>
      <c r="G209" s="301">
        <v>285409</v>
      </c>
      <c r="H209" s="505">
        <v>421092</v>
      </c>
      <c r="I209" s="510">
        <f t="shared" si="25"/>
        <v>135683</v>
      </c>
      <c r="J209" s="876">
        <f t="shared" si="27"/>
        <v>0.47539846325799118</v>
      </c>
      <c r="K209" s="526"/>
      <c r="L209" s="1417"/>
      <c r="M209" s="1122"/>
    </row>
    <row r="210" spans="1:196" ht="41.4" collapsed="1" x14ac:dyDescent="0.25">
      <c r="C210" s="923">
        <v>574020</v>
      </c>
      <c r="D210" s="923">
        <f>C210-G210</f>
        <v>156423.05449999997</v>
      </c>
      <c r="E210" s="141" t="s">
        <v>27</v>
      </c>
      <c r="F210" s="142" t="s">
        <v>549</v>
      </c>
      <c r="G210" s="302">
        <v>417596.94550000003</v>
      </c>
      <c r="H210" s="302">
        <v>347837.75069250003</v>
      </c>
      <c r="I210" s="132">
        <f>H210-G210</f>
        <v>-69759.194807499996</v>
      </c>
      <c r="J210" s="867">
        <f t="shared" si="27"/>
        <v>-0.16704910215273591</v>
      </c>
      <c r="K210" s="422"/>
      <c r="L210" s="224"/>
    </row>
    <row r="211" spans="1:196" s="104" customFormat="1" ht="31.2" hidden="1" customHeight="1" outlineLevel="1" x14ac:dyDescent="0.25">
      <c r="A211" s="810" t="s">
        <v>1620</v>
      </c>
      <c r="B211" s="810" t="s">
        <v>228</v>
      </c>
      <c r="C211" s="923"/>
      <c r="D211" s="923"/>
      <c r="E211" s="159"/>
      <c r="F211" s="160" t="s">
        <v>228</v>
      </c>
      <c r="G211" s="304">
        <v>177922.9455</v>
      </c>
      <c r="H211" s="304">
        <v>269218.39069250005</v>
      </c>
      <c r="I211" s="153">
        <f t="shared" ref="I211:I215" si="28">H211-G211</f>
        <v>91295.445192500047</v>
      </c>
      <c r="J211" s="878">
        <f t="shared" si="27"/>
        <v>0.51311788333956088</v>
      </c>
      <c r="K211" s="421" t="s">
        <v>1622</v>
      </c>
      <c r="L211" s="224"/>
      <c r="M211" s="1152"/>
      <c r="N211" s="157"/>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row>
    <row r="212" spans="1:196" s="104" customFormat="1" ht="13.8" hidden="1" outlineLevel="1" x14ac:dyDescent="0.25">
      <c r="A212" s="810" t="s">
        <v>1620</v>
      </c>
      <c r="B212" s="810" t="s">
        <v>554</v>
      </c>
      <c r="C212" s="923"/>
      <c r="D212" s="923"/>
      <c r="E212" s="214"/>
      <c r="F212" s="215" t="s">
        <v>198</v>
      </c>
      <c r="G212" s="304">
        <v>49124</v>
      </c>
      <c r="H212" s="304">
        <v>56577</v>
      </c>
      <c r="I212" s="153">
        <f t="shared" si="28"/>
        <v>7453</v>
      </c>
      <c r="J212" s="878">
        <f t="shared" si="27"/>
        <v>0.15171810113182965</v>
      </c>
      <c r="K212" s="419" t="s">
        <v>1616</v>
      </c>
      <c r="L212" s="224"/>
      <c r="M212" s="1118"/>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row>
    <row r="213" spans="1:196" s="104" customFormat="1" ht="13.8" hidden="1" outlineLevel="1" x14ac:dyDescent="0.25">
      <c r="A213" s="810" t="s">
        <v>1620</v>
      </c>
      <c r="B213" s="810" t="s">
        <v>556</v>
      </c>
      <c r="C213" s="923"/>
      <c r="D213" s="923"/>
      <c r="E213" s="214"/>
      <c r="F213" s="160" t="s">
        <v>197</v>
      </c>
      <c r="G213" s="304">
        <v>5130</v>
      </c>
      <c r="H213" s="304">
        <v>1900</v>
      </c>
      <c r="I213" s="153">
        <f t="shared" si="28"/>
        <v>-3230</v>
      </c>
      <c r="J213" s="878">
        <f t="shared" si="27"/>
        <v>-0.62962962962962965</v>
      </c>
      <c r="K213" s="433"/>
      <c r="L213" s="224"/>
      <c r="M213" s="107"/>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row>
    <row r="214" spans="1:196" s="104" customFormat="1" ht="13.8" hidden="1" outlineLevel="1" x14ac:dyDescent="0.25">
      <c r="A214" s="810" t="s">
        <v>1620</v>
      </c>
      <c r="B214" s="810" t="s">
        <v>621</v>
      </c>
      <c r="C214" s="923">
        <v>341910</v>
      </c>
      <c r="D214" s="923">
        <f>C214-G214</f>
        <v>156490</v>
      </c>
      <c r="E214" s="500"/>
      <c r="F214" s="160" t="s">
        <v>186</v>
      </c>
      <c r="G214" s="307">
        <v>185420</v>
      </c>
      <c r="H214" s="307">
        <v>20142.36</v>
      </c>
      <c r="I214" s="153">
        <f t="shared" si="28"/>
        <v>-165277.64000000001</v>
      </c>
      <c r="J214" s="878">
        <f t="shared" si="27"/>
        <v>-0.89136900010786335</v>
      </c>
      <c r="K214" s="998"/>
      <c r="L214" s="224"/>
      <c r="M214" s="107"/>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row>
    <row r="215" spans="1:196" s="525" customFormat="1" ht="16.2" hidden="1" customHeight="1" outlineLevel="1" x14ac:dyDescent="0.25">
      <c r="A215" s="1415" t="s">
        <v>1620</v>
      </c>
      <c r="B215" s="1415" t="s">
        <v>192</v>
      </c>
      <c r="C215" s="1416"/>
      <c r="D215" s="1416"/>
      <c r="E215" s="528"/>
      <c r="F215" s="1103" t="s">
        <v>1621</v>
      </c>
      <c r="G215" s="301">
        <v>175508</v>
      </c>
      <c r="H215" s="505">
        <v>161090</v>
      </c>
      <c r="I215" s="510">
        <f t="shared" si="28"/>
        <v>-14418</v>
      </c>
      <c r="J215" s="876">
        <f t="shared" si="27"/>
        <v>-8.2150101419878302E-2</v>
      </c>
      <c r="K215" s="526">
        <f>G215*$K$103</f>
        <v>0</v>
      </c>
      <c r="L215" s="1417"/>
      <c r="M215" s="1122"/>
      <c r="N215" s="515"/>
      <c r="O215" s="515"/>
      <c r="P215" s="515"/>
      <c r="Q215" s="515"/>
      <c r="R215" s="515"/>
      <c r="S215" s="515"/>
      <c r="T215" s="515"/>
      <c r="U215" s="515"/>
      <c r="V215" s="515"/>
      <c r="W215" s="515"/>
      <c r="X215" s="515"/>
      <c r="Y215" s="515"/>
      <c r="Z215" s="515"/>
      <c r="AA215" s="515"/>
      <c r="AB215" s="515"/>
      <c r="AC215" s="515"/>
      <c r="AD215" s="515"/>
      <c r="AE215" s="515"/>
      <c r="AF215" s="515"/>
      <c r="AG215" s="515"/>
      <c r="AH215" s="515"/>
      <c r="AI215" s="515"/>
      <c r="AJ215" s="515"/>
      <c r="AK215" s="515"/>
      <c r="AL215" s="515"/>
      <c r="AM215" s="515"/>
      <c r="AN215" s="515"/>
      <c r="AO215" s="515"/>
      <c r="AP215" s="515"/>
      <c r="AQ215" s="515"/>
      <c r="AR215" s="515"/>
      <c r="AS215" s="515"/>
      <c r="AT215" s="515"/>
      <c r="AU215" s="515"/>
      <c r="AV215" s="515"/>
      <c r="AW215" s="515"/>
      <c r="AX215" s="515"/>
      <c r="AY215" s="515"/>
      <c r="AZ215" s="515"/>
      <c r="BA215" s="515"/>
      <c r="BB215" s="515"/>
      <c r="BC215" s="515"/>
      <c r="BD215" s="515"/>
      <c r="BE215" s="515"/>
      <c r="BF215" s="515"/>
      <c r="BG215" s="515"/>
      <c r="BH215" s="515"/>
      <c r="BI215" s="515"/>
      <c r="BJ215" s="515"/>
      <c r="BK215" s="515"/>
      <c r="BL215" s="515"/>
      <c r="BM215" s="515"/>
      <c r="BN215" s="515"/>
      <c r="BO215" s="515"/>
      <c r="BP215" s="515"/>
      <c r="BQ215" s="515"/>
      <c r="BR215" s="515"/>
      <c r="BS215" s="515"/>
      <c r="BT215" s="515"/>
      <c r="BU215" s="515"/>
      <c r="BV215" s="515"/>
      <c r="BW215" s="515"/>
      <c r="BX215" s="515"/>
      <c r="BY215" s="515"/>
      <c r="BZ215" s="515"/>
      <c r="CA215" s="515"/>
      <c r="CB215" s="515"/>
      <c r="CC215" s="515"/>
      <c r="CD215" s="515"/>
      <c r="CE215" s="515"/>
      <c r="CF215" s="515"/>
      <c r="CG215" s="515"/>
      <c r="CH215" s="515"/>
      <c r="CI215" s="515"/>
      <c r="CJ215" s="515"/>
      <c r="CK215" s="515"/>
      <c r="CL215" s="515"/>
      <c r="CM215" s="515"/>
      <c r="CN215" s="515"/>
      <c r="CO215" s="515"/>
      <c r="CP215" s="515"/>
      <c r="CQ215" s="515"/>
      <c r="CR215" s="515"/>
      <c r="CS215" s="515"/>
      <c r="CT215" s="515"/>
      <c r="CU215" s="515"/>
      <c r="CV215" s="515"/>
      <c r="CW215" s="515"/>
      <c r="CX215" s="515"/>
      <c r="CY215" s="515"/>
      <c r="CZ215" s="515"/>
      <c r="DA215" s="515"/>
      <c r="DB215" s="515"/>
      <c r="DC215" s="515"/>
      <c r="DD215" s="515"/>
      <c r="DE215" s="515"/>
      <c r="DF215" s="515"/>
      <c r="DG215" s="515"/>
      <c r="DH215" s="515"/>
      <c r="DI215" s="515"/>
      <c r="DJ215" s="515"/>
      <c r="DK215" s="515"/>
      <c r="DL215" s="515"/>
      <c r="DM215" s="515"/>
      <c r="DN215" s="515"/>
      <c r="DO215" s="515"/>
      <c r="DP215" s="515"/>
      <c r="DQ215" s="515"/>
      <c r="DR215" s="515"/>
      <c r="DS215" s="515"/>
      <c r="DT215" s="515"/>
      <c r="DU215" s="515"/>
      <c r="DV215" s="515"/>
      <c r="DW215" s="515"/>
      <c r="DX215" s="515"/>
      <c r="DY215" s="515"/>
      <c r="DZ215" s="515"/>
      <c r="EA215" s="515"/>
      <c r="EB215" s="515"/>
      <c r="EC215" s="515"/>
      <c r="ED215" s="515"/>
      <c r="EE215" s="515"/>
      <c r="EF215" s="515"/>
      <c r="EG215" s="515"/>
      <c r="EH215" s="515"/>
      <c r="EI215" s="515"/>
      <c r="EJ215" s="515"/>
      <c r="EK215" s="515"/>
      <c r="EL215" s="515"/>
      <c r="EM215" s="515"/>
      <c r="EN215" s="515"/>
      <c r="EO215" s="515"/>
      <c r="EP215" s="515"/>
      <c r="EQ215" s="515"/>
      <c r="ER215" s="515"/>
      <c r="ES215" s="515"/>
      <c r="ET215" s="515"/>
      <c r="EU215" s="515"/>
      <c r="EV215" s="515"/>
      <c r="EW215" s="515"/>
      <c r="EX215" s="515"/>
      <c r="EY215" s="515"/>
      <c r="EZ215" s="515"/>
      <c r="FA215" s="515"/>
      <c r="FB215" s="515"/>
      <c r="FC215" s="515"/>
      <c r="FD215" s="515"/>
      <c r="FE215" s="515"/>
      <c r="FF215" s="515"/>
      <c r="FG215" s="515"/>
      <c r="FH215" s="515"/>
      <c r="FI215" s="515"/>
      <c r="FJ215" s="515"/>
      <c r="FK215" s="515"/>
      <c r="FL215" s="515"/>
      <c r="FM215" s="515"/>
      <c r="FN215" s="515"/>
      <c r="FO215" s="515"/>
      <c r="FP215" s="515"/>
      <c r="FQ215" s="515"/>
      <c r="FR215" s="515"/>
      <c r="FS215" s="515"/>
      <c r="FT215" s="515"/>
      <c r="FU215" s="515"/>
      <c r="FV215" s="515"/>
      <c r="FW215" s="515"/>
      <c r="FX215" s="515"/>
      <c r="FY215" s="515"/>
      <c r="FZ215" s="515"/>
      <c r="GA215" s="515"/>
      <c r="GB215" s="515"/>
      <c r="GC215" s="515"/>
      <c r="GD215" s="515"/>
      <c r="GE215" s="515"/>
      <c r="GF215" s="515"/>
      <c r="GG215" s="515"/>
      <c r="GH215" s="515"/>
      <c r="GI215" s="515"/>
      <c r="GJ215" s="515"/>
      <c r="GK215" s="515"/>
      <c r="GL215" s="515"/>
      <c r="GM215" s="515"/>
      <c r="GN215" s="515"/>
    </row>
    <row r="216" spans="1:196" s="525" customFormat="1" ht="28.2" hidden="1" customHeight="1" outlineLevel="1" x14ac:dyDescent="0.25">
      <c r="A216" s="1415" t="s">
        <v>775</v>
      </c>
      <c r="B216" s="1415" t="s">
        <v>192</v>
      </c>
      <c r="C216" s="1416"/>
      <c r="D216" s="1416"/>
      <c r="E216" s="528"/>
      <c r="F216" s="1103" t="s">
        <v>363</v>
      </c>
      <c r="G216" s="1432">
        <v>156490</v>
      </c>
      <c r="H216" s="518">
        <v>330670</v>
      </c>
      <c r="I216" s="510">
        <f>H216-G216</f>
        <v>174180</v>
      </c>
      <c r="J216" s="876">
        <f t="shared" si="27"/>
        <v>1.1130423669244041</v>
      </c>
      <c r="K216" s="1431" t="s">
        <v>1623</v>
      </c>
      <c r="L216" s="1417"/>
      <c r="M216" s="1122"/>
      <c r="N216" s="515"/>
      <c r="O216" s="515"/>
      <c r="P216" s="515"/>
      <c r="Q216" s="515"/>
      <c r="R216" s="515"/>
      <c r="S216" s="515"/>
      <c r="T216" s="515"/>
      <c r="U216" s="515"/>
      <c r="V216" s="515"/>
      <c r="W216" s="515"/>
      <c r="X216" s="515"/>
      <c r="Y216" s="515"/>
      <c r="Z216" s="515"/>
      <c r="AA216" s="515"/>
      <c r="AB216" s="515"/>
      <c r="AC216" s="515"/>
      <c r="AD216" s="515"/>
      <c r="AE216" s="515"/>
      <c r="AF216" s="515"/>
      <c r="AG216" s="515"/>
      <c r="AH216" s="515"/>
      <c r="AI216" s="515"/>
      <c r="AJ216" s="515"/>
      <c r="AK216" s="515"/>
      <c r="AL216" s="515"/>
      <c r="AM216" s="515"/>
      <c r="AN216" s="515"/>
      <c r="AO216" s="515"/>
      <c r="AP216" s="515"/>
      <c r="AQ216" s="515"/>
      <c r="AR216" s="515"/>
      <c r="AS216" s="515"/>
      <c r="AT216" s="515"/>
      <c r="AU216" s="515"/>
      <c r="AV216" s="515"/>
      <c r="AW216" s="515"/>
      <c r="AX216" s="515"/>
      <c r="AY216" s="515"/>
      <c r="AZ216" s="515"/>
      <c r="BA216" s="515"/>
      <c r="BB216" s="515"/>
      <c r="BC216" s="515"/>
      <c r="BD216" s="515"/>
      <c r="BE216" s="515"/>
      <c r="BF216" s="515"/>
      <c r="BG216" s="515"/>
      <c r="BH216" s="515"/>
      <c r="BI216" s="515"/>
      <c r="BJ216" s="515"/>
      <c r="BK216" s="515"/>
      <c r="BL216" s="515"/>
      <c r="BM216" s="515"/>
      <c r="BN216" s="515"/>
      <c r="BO216" s="515"/>
      <c r="BP216" s="515"/>
      <c r="BQ216" s="515"/>
      <c r="BR216" s="515"/>
      <c r="BS216" s="515"/>
      <c r="BT216" s="515"/>
      <c r="BU216" s="515"/>
      <c r="BV216" s="515"/>
      <c r="BW216" s="515"/>
      <c r="BX216" s="515"/>
      <c r="BY216" s="515"/>
      <c r="BZ216" s="515"/>
      <c r="CA216" s="515"/>
      <c r="CB216" s="515"/>
      <c r="CC216" s="515"/>
      <c r="CD216" s="515"/>
      <c r="CE216" s="515"/>
      <c r="CF216" s="515"/>
      <c r="CG216" s="515"/>
      <c r="CH216" s="515"/>
      <c r="CI216" s="515"/>
      <c r="CJ216" s="515"/>
      <c r="CK216" s="515"/>
      <c r="CL216" s="515"/>
      <c r="CM216" s="515"/>
      <c r="CN216" s="515"/>
      <c r="CO216" s="515"/>
      <c r="CP216" s="515"/>
      <c r="CQ216" s="515"/>
      <c r="CR216" s="515"/>
      <c r="CS216" s="515"/>
      <c r="CT216" s="515"/>
      <c r="CU216" s="515"/>
      <c r="CV216" s="515"/>
      <c r="CW216" s="515"/>
      <c r="CX216" s="515"/>
      <c r="CY216" s="515"/>
      <c r="CZ216" s="515"/>
      <c r="DA216" s="515"/>
      <c r="DB216" s="515"/>
      <c r="DC216" s="515"/>
      <c r="DD216" s="515"/>
      <c r="DE216" s="515"/>
      <c r="DF216" s="515"/>
      <c r="DG216" s="515"/>
      <c r="DH216" s="515"/>
      <c r="DI216" s="515"/>
      <c r="DJ216" s="515"/>
      <c r="DK216" s="515"/>
      <c r="DL216" s="515"/>
      <c r="DM216" s="515"/>
      <c r="DN216" s="515"/>
      <c r="DO216" s="515"/>
      <c r="DP216" s="515"/>
      <c r="DQ216" s="515"/>
      <c r="DR216" s="515"/>
      <c r="DS216" s="515"/>
      <c r="DT216" s="515"/>
      <c r="DU216" s="515"/>
      <c r="DV216" s="515"/>
      <c r="DW216" s="515"/>
      <c r="DX216" s="515"/>
      <c r="DY216" s="515"/>
      <c r="DZ216" s="515"/>
      <c r="EA216" s="515"/>
      <c r="EB216" s="515"/>
      <c r="EC216" s="515"/>
      <c r="ED216" s="515"/>
      <c r="EE216" s="515"/>
      <c r="EF216" s="515"/>
      <c r="EG216" s="515"/>
      <c r="EH216" s="515"/>
      <c r="EI216" s="515"/>
      <c r="EJ216" s="515"/>
      <c r="EK216" s="515"/>
      <c r="EL216" s="515"/>
      <c r="EM216" s="515"/>
      <c r="EN216" s="515"/>
      <c r="EO216" s="515"/>
      <c r="EP216" s="515"/>
      <c r="EQ216" s="515"/>
      <c r="ER216" s="515"/>
      <c r="ES216" s="515"/>
      <c r="ET216" s="515"/>
      <c r="EU216" s="515"/>
      <c r="EV216" s="515"/>
      <c r="EW216" s="515"/>
      <c r="EX216" s="515"/>
      <c r="EY216" s="515"/>
      <c r="EZ216" s="515"/>
      <c r="FA216" s="515"/>
      <c r="FB216" s="515"/>
      <c r="FC216" s="515"/>
      <c r="FD216" s="515"/>
      <c r="FE216" s="515"/>
      <c r="FF216" s="515"/>
      <c r="FG216" s="515"/>
      <c r="FH216" s="515"/>
      <c r="FI216" s="515"/>
      <c r="FJ216" s="515"/>
      <c r="FK216" s="515"/>
      <c r="FL216" s="515"/>
      <c r="FM216" s="515"/>
      <c r="FN216" s="515"/>
      <c r="FO216" s="515"/>
      <c r="FP216" s="515"/>
      <c r="FQ216" s="515"/>
      <c r="FR216" s="515"/>
      <c r="FS216" s="515"/>
      <c r="FT216" s="515"/>
      <c r="FU216" s="515"/>
      <c r="FV216" s="515"/>
      <c r="FW216" s="515"/>
      <c r="FX216" s="515"/>
      <c r="FY216" s="515"/>
      <c r="FZ216" s="515"/>
      <c r="GA216" s="515"/>
      <c r="GB216" s="515"/>
      <c r="GC216" s="515"/>
      <c r="GD216" s="515"/>
      <c r="GE216" s="515"/>
      <c r="GF216" s="515"/>
      <c r="GG216" s="515"/>
      <c r="GH216" s="515"/>
      <c r="GI216" s="515"/>
      <c r="GJ216" s="515"/>
      <c r="GK216" s="515"/>
      <c r="GL216" s="515"/>
      <c r="GM216" s="515"/>
      <c r="GN216" s="515"/>
    </row>
    <row r="217" spans="1:196" ht="41.4" collapsed="1" x14ac:dyDescent="0.25">
      <c r="C217" s="923">
        <v>68712</v>
      </c>
      <c r="D217" s="923">
        <f>C217-G217</f>
        <v>66761</v>
      </c>
      <c r="E217" s="141" t="s">
        <v>90</v>
      </c>
      <c r="F217" s="142" t="s">
        <v>550</v>
      </c>
      <c r="G217" s="302">
        <v>1951</v>
      </c>
      <c r="H217" s="302">
        <v>0</v>
      </c>
      <c r="I217" s="132">
        <f>H217-G217</f>
        <v>-1951</v>
      </c>
      <c r="J217" s="867">
        <f t="shared" si="27"/>
        <v>-1</v>
      </c>
      <c r="K217" s="1396"/>
      <c r="L217" s="224"/>
    </row>
    <row r="218" spans="1:196" s="104" customFormat="1" ht="13.95" hidden="1" customHeight="1" outlineLevel="1" x14ac:dyDescent="0.25">
      <c r="A218" s="810" t="s">
        <v>776</v>
      </c>
      <c r="B218" s="810" t="s">
        <v>228</v>
      </c>
      <c r="C218" s="923"/>
      <c r="D218" s="923"/>
      <c r="E218" s="159"/>
      <c r="F218" s="160" t="s">
        <v>228</v>
      </c>
      <c r="G218" s="296">
        <v>0</v>
      </c>
      <c r="H218" s="304">
        <v>0</v>
      </c>
      <c r="I218" s="153">
        <f>H218-G218</f>
        <v>0</v>
      </c>
      <c r="J218" s="878" t="str">
        <f t="shared" si="27"/>
        <v>-</v>
      </c>
      <c r="K218" s="428"/>
      <c r="L218" s="224"/>
      <c r="M218" s="107"/>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row>
    <row r="219" spans="1:196" s="104" customFormat="1" ht="13.8" hidden="1" outlineLevel="1" x14ac:dyDescent="0.25">
      <c r="A219" s="810" t="s">
        <v>776</v>
      </c>
      <c r="B219" s="810" t="s">
        <v>554</v>
      </c>
      <c r="C219" s="923">
        <v>68712</v>
      </c>
      <c r="D219" s="923">
        <f>C219-G219</f>
        <v>68712</v>
      </c>
      <c r="E219" s="214"/>
      <c r="F219" s="215" t="s">
        <v>198</v>
      </c>
      <c r="G219" s="296">
        <v>0</v>
      </c>
      <c r="H219" s="304">
        <v>0</v>
      </c>
      <c r="I219" s="153">
        <f>H219-G219</f>
        <v>0</v>
      </c>
      <c r="J219" s="878" t="str">
        <f t="shared" si="27"/>
        <v>-</v>
      </c>
      <c r="K219" s="428"/>
      <c r="L219" s="224"/>
      <c r="M219" s="107"/>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row>
    <row r="220" spans="1:196" s="104" customFormat="1" ht="13.8" hidden="1" outlineLevel="1" x14ac:dyDescent="0.25">
      <c r="A220" s="810" t="s">
        <v>776</v>
      </c>
      <c r="B220" s="810" t="s">
        <v>621</v>
      </c>
      <c r="C220" s="923">
        <v>1951</v>
      </c>
      <c r="D220" s="923">
        <f>C220-G220</f>
        <v>0</v>
      </c>
      <c r="E220" s="214"/>
      <c r="F220" s="160" t="s">
        <v>186</v>
      </c>
      <c r="G220" s="296">
        <v>1951</v>
      </c>
      <c r="H220" s="304">
        <v>0</v>
      </c>
      <c r="I220" s="303"/>
      <c r="J220" s="890">
        <f t="shared" si="27"/>
        <v>0</v>
      </c>
      <c r="K220" s="433"/>
      <c r="L220" s="224"/>
      <c r="M220" s="107"/>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row>
    <row r="221" spans="1:196" s="1440" customFormat="1" ht="16.2" hidden="1" customHeight="1" outlineLevel="1" x14ac:dyDescent="0.25">
      <c r="A221" s="1441" t="s">
        <v>776</v>
      </c>
      <c r="B221" s="1441" t="s">
        <v>192</v>
      </c>
      <c r="C221" s="1442"/>
      <c r="D221" s="1442"/>
      <c r="E221" s="1433"/>
      <c r="F221" s="1434" t="s">
        <v>362</v>
      </c>
      <c r="G221" s="1443">
        <v>68712</v>
      </c>
      <c r="H221" s="1443">
        <v>0</v>
      </c>
      <c r="I221" s="1435">
        <f t="shared" ref="I221:I226" si="29">H221-G221</f>
        <v>-68712</v>
      </c>
      <c r="J221" s="1436">
        <f t="shared" si="27"/>
        <v>-1</v>
      </c>
      <c r="K221" s="1437"/>
      <c r="L221" s="1444"/>
      <c r="M221" s="1438"/>
      <c r="N221" s="1439"/>
      <c r="O221" s="1439"/>
      <c r="P221" s="1439"/>
      <c r="Q221" s="1439"/>
      <c r="R221" s="1439"/>
      <c r="S221" s="1439"/>
      <c r="T221" s="1439"/>
      <c r="U221" s="1439"/>
      <c r="V221" s="1439"/>
      <c r="W221" s="1439"/>
      <c r="X221" s="1439"/>
      <c r="Y221" s="1439"/>
      <c r="Z221" s="1439"/>
      <c r="AA221" s="1439"/>
      <c r="AB221" s="1439"/>
      <c r="AC221" s="1439"/>
      <c r="AD221" s="1439"/>
      <c r="AE221" s="1439"/>
      <c r="AF221" s="1439"/>
      <c r="AG221" s="1439"/>
      <c r="AH221" s="1439"/>
      <c r="AI221" s="1439"/>
      <c r="AJ221" s="1439"/>
      <c r="AK221" s="1439"/>
      <c r="AL221" s="1439"/>
      <c r="AM221" s="1439"/>
      <c r="AN221" s="1439"/>
      <c r="AO221" s="1439"/>
      <c r="AP221" s="1439"/>
      <c r="AQ221" s="1439"/>
      <c r="AR221" s="1439"/>
      <c r="AS221" s="1439"/>
      <c r="AT221" s="1439"/>
      <c r="AU221" s="1439"/>
      <c r="AV221" s="1439"/>
      <c r="AW221" s="1439"/>
      <c r="AX221" s="1439"/>
      <c r="AY221" s="1439"/>
      <c r="AZ221" s="1439"/>
      <c r="BA221" s="1439"/>
      <c r="BB221" s="1439"/>
      <c r="BC221" s="1439"/>
      <c r="BD221" s="1439"/>
      <c r="BE221" s="1439"/>
      <c r="BF221" s="1439"/>
      <c r="BG221" s="1439"/>
      <c r="BH221" s="1439"/>
      <c r="BI221" s="1439"/>
      <c r="BJ221" s="1439"/>
      <c r="BK221" s="1439"/>
      <c r="BL221" s="1439"/>
      <c r="BM221" s="1439"/>
      <c r="BN221" s="1439"/>
      <c r="BO221" s="1439"/>
      <c r="BP221" s="1439"/>
      <c r="BQ221" s="1439"/>
      <c r="BR221" s="1439"/>
      <c r="BS221" s="1439"/>
      <c r="BT221" s="1439"/>
      <c r="BU221" s="1439"/>
      <c r="BV221" s="1439"/>
      <c r="BW221" s="1439"/>
      <c r="BX221" s="1439"/>
      <c r="BY221" s="1439"/>
      <c r="BZ221" s="1439"/>
      <c r="CA221" s="1439"/>
      <c r="CB221" s="1439"/>
      <c r="CC221" s="1439"/>
      <c r="CD221" s="1439"/>
      <c r="CE221" s="1439"/>
      <c r="CF221" s="1439"/>
      <c r="CG221" s="1439"/>
      <c r="CH221" s="1439"/>
      <c r="CI221" s="1439"/>
      <c r="CJ221" s="1439"/>
      <c r="CK221" s="1439"/>
      <c r="CL221" s="1439"/>
      <c r="CM221" s="1439"/>
      <c r="CN221" s="1439"/>
      <c r="CO221" s="1439"/>
      <c r="CP221" s="1439"/>
      <c r="CQ221" s="1439"/>
      <c r="CR221" s="1439"/>
      <c r="CS221" s="1439"/>
      <c r="CT221" s="1439"/>
      <c r="CU221" s="1439"/>
      <c r="CV221" s="1439"/>
      <c r="CW221" s="1439"/>
      <c r="CX221" s="1439"/>
      <c r="CY221" s="1439"/>
      <c r="CZ221" s="1439"/>
      <c r="DA221" s="1439"/>
      <c r="DB221" s="1439"/>
      <c r="DC221" s="1439"/>
      <c r="DD221" s="1439"/>
      <c r="DE221" s="1439"/>
      <c r="DF221" s="1439"/>
      <c r="DG221" s="1439"/>
      <c r="DH221" s="1439"/>
      <c r="DI221" s="1439"/>
      <c r="DJ221" s="1439"/>
      <c r="DK221" s="1439"/>
      <c r="DL221" s="1439"/>
      <c r="DM221" s="1439"/>
      <c r="DN221" s="1439"/>
      <c r="DO221" s="1439"/>
      <c r="DP221" s="1439"/>
      <c r="DQ221" s="1439"/>
      <c r="DR221" s="1439"/>
      <c r="DS221" s="1439"/>
      <c r="DT221" s="1439"/>
      <c r="DU221" s="1439"/>
      <c r="DV221" s="1439"/>
      <c r="DW221" s="1439"/>
      <c r="DX221" s="1439"/>
      <c r="DY221" s="1439"/>
      <c r="DZ221" s="1439"/>
      <c r="EA221" s="1439"/>
      <c r="EB221" s="1439"/>
      <c r="EC221" s="1439"/>
      <c r="ED221" s="1439"/>
      <c r="EE221" s="1439"/>
      <c r="EF221" s="1439"/>
      <c r="EG221" s="1439"/>
      <c r="EH221" s="1439"/>
      <c r="EI221" s="1439"/>
      <c r="EJ221" s="1439"/>
      <c r="EK221" s="1439"/>
      <c r="EL221" s="1439"/>
      <c r="EM221" s="1439"/>
      <c r="EN221" s="1439"/>
      <c r="EO221" s="1439"/>
      <c r="EP221" s="1439"/>
      <c r="EQ221" s="1439"/>
      <c r="ER221" s="1439"/>
      <c r="ES221" s="1439"/>
      <c r="ET221" s="1439"/>
      <c r="EU221" s="1439"/>
      <c r="EV221" s="1439"/>
      <c r="EW221" s="1439"/>
      <c r="EX221" s="1439"/>
      <c r="EY221" s="1439"/>
      <c r="EZ221" s="1439"/>
      <c r="FA221" s="1439"/>
      <c r="FB221" s="1439"/>
      <c r="FC221" s="1439"/>
      <c r="FD221" s="1439"/>
      <c r="FE221" s="1439"/>
      <c r="FF221" s="1439"/>
      <c r="FG221" s="1439"/>
      <c r="FH221" s="1439"/>
      <c r="FI221" s="1439"/>
      <c r="FJ221" s="1439"/>
      <c r="FK221" s="1439"/>
      <c r="FL221" s="1439"/>
      <c r="FM221" s="1439"/>
      <c r="FN221" s="1439"/>
      <c r="FO221" s="1439"/>
      <c r="FP221" s="1439"/>
      <c r="FQ221" s="1439"/>
      <c r="FR221" s="1439"/>
      <c r="FS221" s="1439"/>
      <c r="FT221" s="1439"/>
      <c r="FU221" s="1439"/>
      <c r="FV221" s="1439"/>
      <c r="FW221" s="1439"/>
      <c r="FX221" s="1439"/>
      <c r="FY221" s="1439"/>
      <c r="FZ221" s="1439"/>
      <c r="GA221" s="1439"/>
      <c r="GB221" s="1439"/>
      <c r="GC221" s="1439"/>
      <c r="GD221" s="1439"/>
      <c r="GE221" s="1439"/>
      <c r="GF221" s="1439"/>
      <c r="GG221" s="1439"/>
      <c r="GH221" s="1439"/>
      <c r="GI221" s="1439"/>
      <c r="GJ221" s="1439"/>
      <c r="GK221" s="1439"/>
      <c r="GL221" s="1439"/>
      <c r="GM221" s="1439"/>
      <c r="GN221" s="1439"/>
    </row>
    <row r="222" spans="1:196" s="1440" customFormat="1" ht="16.2" hidden="1" customHeight="1" outlineLevel="1" x14ac:dyDescent="0.25">
      <c r="A222" s="1441"/>
      <c r="B222" s="1441"/>
      <c r="C222" s="1442"/>
      <c r="D222" s="1442"/>
      <c r="E222" s="1433"/>
      <c r="F222" s="1434" t="s">
        <v>363</v>
      </c>
      <c r="G222" s="1443">
        <v>0</v>
      </c>
      <c r="H222" s="1443">
        <v>0</v>
      </c>
      <c r="I222" s="1435">
        <f t="shared" si="29"/>
        <v>0</v>
      </c>
      <c r="J222" s="1436" t="str">
        <f t="shared" si="27"/>
        <v>-</v>
      </c>
      <c r="K222" s="1437"/>
      <c r="L222" s="1444"/>
      <c r="M222" s="1438"/>
      <c r="N222" s="1439"/>
      <c r="O222" s="1439"/>
      <c r="P222" s="1439"/>
      <c r="Q222" s="1439"/>
      <c r="R222" s="1439"/>
      <c r="S222" s="1439"/>
      <c r="T222" s="1439"/>
      <c r="U222" s="1439"/>
      <c r="V222" s="1439"/>
      <c r="W222" s="1439"/>
      <c r="X222" s="1439"/>
      <c r="Y222" s="1439"/>
      <c r="Z222" s="1439"/>
      <c r="AA222" s="1439"/>
      <c r="AB222" s="1439"/>
      <c r="AC222" s="1439"/>
      <c r="AD222" s="1439"/>
      <c r="AE222" s="1439"/>
      <c r="AF222" s="1439"/>
      <c r="AG222" s="1439"/>
      <c r="AH222" s="1439"/>
      <c r="AI222" s="1439"/>
      <c r="AJ222" s="1439"/>
      <c r="AK222" s="1439"/>
      <c r="AL222" s="1439"/>
      <c r="AM222" s="1439"/>
      <c r="AN222" s="1439"/>
      <c r="AO222" s="1439"/>
      <c r="AP222" s="1439"/>
      <c r="AQ222" s="1439"/>
      <c r="AR222" s="1439"/>
      <c r="AS222" s="1439"/>
      <c r="AT222" s="1439"/>
      <c r="AU222" s="1439"/>
      <c r="AV222" s="1439"/>
      <c r="AW222" s="1439"/>
      <c r="AX222" s="1439"/>
      <c r="AY222" s="1439"/>
      <c r="AZ222" s="1439"/>
      <c r="BA222" s="1439"/>
      <c r="BB222" s="1439"/>
      <c r="BC222" s="1439"/>
      <c r="BD222" s="1439"/>
      <c r="BE222" s="1439"/>
      <c r="BF222" s="1439"/>
      <c r="BG222" s="1439"/>
      <c r="BH222" s="1439"/>
      <c r="BI222" s="1439"/>
      <c r="BJ222" s="1439"/>
      <c r="BK222" s="1439"/>
      <c r="BL222" s="1439"/>
      <c r="BM222" s="1439"/>
      <c r="BN222" s="1439"/>
      <c r="BO222" s="1439"/>
      <c r="BP222" s="1439"/>
      <c r="BQ222" s="1439"/>
      <c r="BR222" s="1439"/>
      <c r="BS222" s="1439"/>
      <c r="BT222" s="1439"/>
      <c r="BU222" s="1439"/>
      <c r="BV222" s="1439"/>
      <c r="BW222" s="1439"/>
      <c r="BX222" s="1439"/>
      <c r="BY222" s="1439"/>
      <c r="BZ222" s="1439"/>
      <c r="CA222" s="1439"/>
      <c r="CB222" s="1439"/>
      <c r="CC222" s="1439"/>
      <c r="CD222" s="1439"/>
      <c r="CE222" s="1439"/>
      <c r="CF222" s="1439"/>
      <c r="CG222" s="1439"/>
      <c r="CH222" s="1439"/>
      <c r="CI222" s="1439"/>
      <c r="CJ222" s="1439"/>
      <c r="CK222" s="1439"/>
      <c r="CL222" s="1439"/>
      <c r="CM222" s="1439"/>
      <c r="CN222" s="1439"/>
      <c r="CO222" s="1439"/>
      <c r="CP222" s="1439"/>
      <c r="CQ222" s="1439"/>
      <c r="CR222" s="1439"/>
      <c r="CS222" s="1439"/>
      <c r="CT222" s="1439"/>
      <c r="CU222" s="1439"/>
      <c r="CV222" s="1439"/>
      <c r="CW222" s="1439"/>
      <c r="CX222" s="1439"/>
      <c r="CY222" s="1439"/>
      <c r="CZ222" s="1439"/>
      <c r="DA222" s="1439"/>
      <c r="DB222" s="1439"/>
      <c r="DC222" s="1439"/>
      <c r="DD222" s="1439"/>
      <c r="DE222" s="1439"/>
      <c r="DF222" s="1439"/>
      <c r="DG222" s="1439"/>
      <c r="DH222" s="1439"/>
      <c r="DI222" s="1439"/>
      <c r="DJ222" s="1439"/>
      <c r="DK222" s="1439"/>
      <c r="DL222" s="1439"/>
      <c r="DM222" s="1439"/>
      <c r="DN222" s="1439"/>
      <c r="DO222" s="1439"/>
      <c r="DP222" s="1439"/>
      <c r="DQ222" s="1439"/>
      <c r="DR222" s="1439"/>
      <c r="DS222" s="1439"/>
      <c r="DT222" s="1439"/>
      <c r="DU222" s="1439"/>
      <c r="DV222" s="1439"/>
      <c r="DW222" s="1439"/>
      <c r="DX222" s="1439"/>
      <c r="DY222" s="1439"/>
      <c r="DZ222" s="1439"/>
      <c r="EA222" s="1439"/>
      <c r="EB222" s="1439"/>
      <c r="EC222" s="1439"/>
      <c r="ED222" s="1439"/>
      <c r="EE222" s="1439"/>
      <c r="EF222" s="1439"/>
      <c r="EG222" s="1439"/>
      <c r="EH222" s="1439"/>
      <c r="EI222" s="1439"/>
      <c r="EJ222" s="1439"/>
      <c r="EK222" s="1439"/>
      <c r="EL222" s="1439"/>
      <c r="EM222" s="1439"/>
      <c r="EN222" s="1439"/>
      <c r="EO222" s="1439"/>
      <c r="EP222" s="1439"/>
      <c r="EQ222" s="1439"/>
      <c r="ER222" s="1439"/>
      <c r="ES222" s="1439"/>
      <c r="ET222" s="1439"/>
      <c r="EU222" s="1439"/>
      <c r="EV222" s="1439"/>
      <c r="EW222" s="1439"/>
      <c r="EX222" s="1439"/>
      <c r="EY222" s="1439"/>
      <c r="EZ222" s="1439"/>
      <c r="FA222" s="1439"/>
      <c r="FB222" s="1439"/>
      <c r="FC222" s="1439"/>
      <c r="FD222" s="1439"/>
      <c r="FE222" s="1439"/>
      <c r="FF222" s="1439"/>
      <c r="FG222" s="1439"/>
      <c r="FH222" s="1439"/>
      <c r="FI222" s="1439"/>
      <c r="FJ222" s="1439"/>
      <c r="FK222" s="1439"/>
      <c r="FL222" s="1439"/>
      <c r="FM222" s="1439"/>
      <c r="FN222" s="1439"/>
      <c r="FO222" s="1439"/>
      <c r="FP222" s="1439"/>
      <c r="FQ222" s="1439"/>
      <c r="FR222" s="1439"/>
      <c r="FS222" s="1439"/>
      <c r="FT222" s="1439"/>
      <c r="FU222" s="1439"/>
      <c r="FV222" s="1439"/>
      <c r="FW222" s="1439"/>
      <c r="FX222" s="1439"/>
      <c r="FY222" s="1439"/>
      <c r="FZ222" s="1439"/>
      <c r="GA222" s="1439"/>
      <c r="GB222" s="1439"/>
      <c r="GC222" s="1439"/>
      <c r="GD222" s="1439"/>
      <c r="GE222" s="1439"/>
      <c r="GF222" s="1439"/>
      <c r="GG222" s="1439"/>
      <c r="GH222" s="1439"/>
      <c r="GI222" s="1439"/>
      <c r="GJ222" s="1439"/>
      <c r="GK222" s="1439"/>
      <c r="GL222" s="1439"/>
      <c r="GM222" s="1439"/>
      <c r="GN222" s="1439"/>
    </row>
    <row r="223" spans="1:196" ht="27.6" collapsed="1" x14ac:dyDescent="0.25">
      <c r="C223" s="923">
        <v>4500</v>
      </c>
      <c r="D223" s="923">
        <f>C223-G223</f>
        <v>0</v>
      </c>
      <c r="E223" s="141" t="s">
        <v>91</v>
      </c>
      <c r="F223" s="142" t="s">
        <v>630</v>
      </c>
      <c r="G223" s="1">
        <v>4500</v>
      </c>
      <c r="H223" s="302">
        <v>5800</v>
      </c>
      <c r="I223" s="132">
        <f t="shared" si="29"/>
        <v>1300</v>
      </c>
      <c r="J223" s="867">
        <f t="shared" si="27"/>
        <v>0.28888888888888886</v>
      </c>
      <c r="K223" s="418"/>
      <c r="L223" s="224"/>
    </row>
    <row r="224" spans="1:196" s="104" customFormat="1" ht="13.8" hidden="1" outlineLevel="1" x14ac:dyDescent="0.25">
      <c r="A224" s="810" t="s">
        <v>777</v>
      </c>
      <c r="B224" s="810" t="s">
        <v>228</v>
      </c>
      <c r="C224" s="923"/>
      <c r="D224" s="923"/>
      <c r="E224" s="159"/>
      <c r="F224" s="160" t="s">
        <v>228</v>
      </c>
      <c r="G224" s="296">
        <v>0</v>
      </c>
      <c r="H224" s="304">
        <v>0</v>
      </c>
      <c r="I224" s="153">
        <f t="shared" si="29"/>
        <v>0</v>
      </c>
      <c r="J224" s="878" t="str">
        <f t="shared" si="27"/>
        <v>-</v>
      </c>
      <c r="K224" s="430"/>
      <c r="L224" s="224"/>
      <c r="M224" s="107"/>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row>
    <row r="225" spans="1:196" s="104" customFormat="1" ht="13.8" hidden="1" outlineLevel="1" x14ac:dyDescent="0.25">
      <c r="A225" s="810" t="s">
        <v>777</v>
      </c>
      <c r="B225" s="810" t="s">
        <v>554</v>
      </c>
      <c r="C225" s="923"/>
      <c r="D225" s="923"/>
      <c r="E225" s="214"/>
      <c r="F225" s="215" t="s">
        <v>198</v>
      </c>
      <c r="G225" s="296">
        <v>4500</v>
      </c>
      <c r="H225" s="304">
        <v>5800</v>
      </c>
      <c r="I225" s="153">
        <f t="shared" si="29"/>
        <v>1300</v>
      </c>
      <c r="J225" s="878">
        <f t="shared" si="27"/>
        <v>0.28888888888888886</v>
      </c>
      <c r="K225" s="428"/>
      <c r="L225" s="224"/>
      <c r="M225" s="107"/>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row>
    <row r="226" spans="1:196" s="1440" customFormat="1" ht="13.8" hidden="1" outlineLevel="1" x14ac:dyDescent="0.25">
      <c r="A226" s="1441" t="s">
        <v>777</v>
      </c>
      <c r="B226" s="1441" t="s">
        <v>555</v>
      </c>
      <c r="C226" s="1442"/>
      <c r="D226" s="1442"/>
      <c r="E226" s="1445"/>
      <c r="F226" s="1446" t="s">
        <v>555</v>
      </c>
      <c r="G226" s="1443">
        <v>0</v>
      </c>
      <c r="H226" s="1443">
        <v>0</v>
      </c>
      <c r="I226" s="1435">
        <f t="shared" si="29"/>
        <v>0</v>
      </c>
      <c r="J226" s="1436" t="str">
        <f t="shared" si="27"/>
        <v>-</v>
      </c>
      <c r="K226" s="1437"/>
      <c r="L226" s="1444"/>
      <c r="M226" s="1438"/>
      <c r="N226" s="1439"/>
      <c r="O226" s="1439"/>
      <c r="P226" s="1439"/>
      <c r="Q226" s="1439"/>
      <c r="R226" s="1439"/>
      <c r="S226" s="1439"/>
      <c r="T226" s="1439"/>
      <c r="U226" s="1439"/>
      <c r="V226" s="1439"/>
      <c r="W226" s="1439"/>
      <c r="X226" s="1439"/>
      <c r="Y226" s="1439"/>
      <c r="Z226" s="1439"/>
      <c r="AA226" s="1439"/>
      <c r="AB226" s="1439"/>
      <c r="AC226" s="1439"/>
      <c r="AD226" s="1439"/>
      <c r="AE226" s="1439"/>
      <c r="AF226" s="1439"/>
      <c r="AG226" s="1439"/>
      <c r="AH226" s="1439"/>
      <c r="AI226" s="1439"/>
      <c r="AJ226" s="1439"/>
      <c r="AK226" s="1439"/>
      <c r="AL226" s="1439"/>
      <c r="AM226" s="1439"/>
      <c r="AN226" s="1439"/>
      <c r="AO226" s="1439"/>
      <c r="AP226" s="1439"/>
      <c r="AQ226" s="1439"/>
      <c r="AR226" s="1439"/>
      <c r="AS226" s="1439"/>
      <c r="AT226" s="1439"/>
      <c r="AU226" s="1439"/>
      <c r="AV226" s="1439"/>
      <c r="AW226" s="1439"/>
      <c r="AX226" s="1439"/>
      <c r="AY226" s="1439"/>
      <c r="AZ226" s="1439"/>
      <c r="BA226" s="1439"/>
      <c r="BB226" s="1439"/>
      <c r="BC226" s="1439"/>
      <c r="BD226" s="1439"/>
      <c r="BE226" s="1439"/>
      <c r="BF226" s="1439"/>
      <c r="BG226" s="1439"/>
      <c r="BH226" s="1439"/>
      <c r="BI226" s="1439"/>
      <c r="BJ226" s="1439"/>
      <c r="BK226" s="1439"/>
      <c r="BL226" s="1439"/>
      <c r="BM226" s="1439"/>
      <c r="BN226" s="1439"/>
      <c r="BO226" s="1439"/>
      <c r="BP226" s="1439"/>
      <c r="BQ226" s="1439"/>
      <c r="BR226" s="1439"/>
      <c r="BS226" s="1439"/>
      <c r="BT226" s="1439"/>
      <c r="BU226" s="1439"/>
      <c r="BV226" s="1439"/>
      <c r="BW226" s="1439"/>
      <c r="BX226" s="1439"/>
      <c r="BY226" s="1439"/>
      <c r="BZ226" s="1439"/>
      <c r="CA226" s="1439"/>
      <c r="CB226" s="1439"/>
      <c r="CC226" s="1439"/>
      <c r="CD226" s="1439"/>
      <c r="CE226" s="1439"/>
      <c r="CF226" s="1439"/>
      <c r="CG226" s="1439"/>
      <c r="CH226" s="1439"/>
      <c r="CI226" s="1439"/>
      <c r="CJ226" s="1439"/>
      <c r="CK226" s="1439"/>
      <c r="CL226" s="1439"/>
      <c r="CM226" s="1439"/>
      <c r="CN226" s="1439"/>
      <c r="CO226" s="1439"/>
      <c r="CP226" s="1439"/>
      <c r="CQ226" s="1439"/>
      <c r="CR226" s="1439"/>
      <c r="CS226" s="1439"/>
      <c r="CT226" s="1439"/>
      <c r="CU226" s="1439"/>
      <c r="CV226" s="1439"/>
      <c r="CW226" s="1439"/>
      <c r="CX226" s="1439"/>
      <c r="CY226" s="1439"/>
      <c r="CZ226" s="1439"/>
      <c r="DA226" s="1439"/>
      <c r="DB226" s="1439"/>
      <c r="DC226" s="1439"/>
      <c r="DD226" s="1439"/>
      <c r="DE226" s="1439"/>
      <c r="DF226" s="1439"/>
      <c r="DG226" s="1439"/>
      <c r="DH226" s="1439"/>
      <c r="DI226" s="1439"/>
      <c r="DJ226" s="1439"/>
      <c r="DK226" s="1439"/>
      <c r="DL226" s="1439"/>
      <c r="DM226" s="1439"/>
      <c r="DN226" s="1439"/>
      <c r="DO226" s="1439"/>
      <c r="DP226" s="1439"/>
      <c r="DQ226" s="1439"/>
      <c r="DR226" s="1439"/>
      <c r="DS226" s="1439"/>
      <c r="DT226" s="1439"/>
      <c r="DU226" s="1439"/>
      <c r="DV226" s="1439"/>
      <c r="DW226" s="1439"/>
      <c r="DX226" s="1439"/>
      <c r="DY226" s="1439"/>
      <c r="DZ226" s="1439"/>
      <c r="EA226" s="1439"/>
      <c r="EB226" s="1439"/>
      <c r="EC226" s="1439"/>
      <c r="ED226" s="1439"/>
      <c r="EE226" s="1439"/>
      <c r="EF226" s="1439"/>
      <c r="EG226" s="1439"/>
      <c r="EH226" s="1439"/>
      <c r="EI226" s="1439"/>
      <c r="EJ226" s="1439"/>
      <c r="EK226" s="1439"/>
      <c r="EL226" s="1439"/>
      <c r="EM226" s="1439"/>
      <c r="EN226" s="1439"/>
      <c r="EO226" s="1439"/>
      <c r="EP226" s="1439"/>
      <c r="EQ226" s="1439"/>
      <c r="ER226" s="1439"/>
      <c r="ES226" s="1439"/>
      <c r="ET226" s="1439"/>
      <c r="EU226" s="1439"/>
      <c r="EV226" s="1439"/>
      <c r="EW226" s="1439"/>
      <c r="EX226" s="1439"/>
      <c r="EY226" s="1439"/>
      <c r="EZ226" s="1439"/>
      <c r="FA226" s="1439"/>
      <c r="FB226" s="1439"/>
      <c r="FC226" s="1439"/>
      <c r="FD226" s="1439"/>
      <c r="FE226" s="1439"/>
      <c r="FF226" s="1439"/>
      <c r="FG226" s="1439"/>
      <c r="FH226" s="1439"/>
      <c r="FI226" s="1439"/>
      <c r="FJ226" s="1439"/>
      <c r="FK226" s="1439"/>
      <c r="FL226" s="1439"/>
      <c r="FM226" s="1439"/>
      <c r="FN226" s="1439"/>
      <c r="FO226" s="1439"/>
      <c r="FP226" s="1439"/>
      <c r="FQ226" s="1439"/>
      <c r="FR226" s="1439"/>
      <c r="FS226" s="1439"/>
      <c r="FT226" s="1439"/>
      <c r="FU226" s="1439"/>
      <c r="FV226" s="1439"/>
      <c r="FW226" s="1439"/>
      <c r="FX226" s="1439"/>
      <c r="FY226" s="1439"/>
      <c r="FZ226" s="1439"/>
      <c r="GA226" s="1439"/>
      <c r="GB226" s="1439"/>
      <c r="GC226" s="1439"/>
      <c r="GD226" s="1439"/>
      <c r="GE226" s="1439"/>
      <c r="GF226" s="1439"/>
      <c r="GG226" s="1439"/>
      <c r="GH226" s="1439"/>
      <c r="GI226" s="1439"/>
      <c r="GJ226" s="1439"/>
      <c r="GK226" s="1439"/>
      <c r="GL226" s="1439"/>
      <c r="GM226" s="1439"/>
      <c r="GN226" s="1439"/>
    </row>
    <row r="227" spans="1:196" ht="13.8" collapsed="1" x14ac:dyDescent="0.25">
      <c r="C227" s="923">
        <f>10038-G229</f>
        <v>1407</v>
      </c>
      <c r="D227" s="923">
        <f>C227-G227</f>
        <v>0</v>
      </c>
      <c r="E227" s="141" t="s">
        <v>93</v>
      </c>
      <c r="F227" s="142" t="s">
        <v>631</v>
      </c>
      <c r="G227" s="1">
        <v>1407</v>
      </c>
      <c r="H227" s="302">
        <v>1407</v>
      </c>
      <c r="I227" s="132">
        <f t="shared" si="25"/>
        <v>0</v>
      </c>
      <c r="J227" s="867">
        <f t="shared" si="27"/>
        <v>0</v>
      </c>
      <c r="K227" s="418"/>
      <c r="L227" s="224"/>
    </row>
    <row r="228" spans="1:196" s="104" customFormat="1" ht="13.8" hidden="1" outlineLevel="1" x14ac:dyDescent="0.25">
      <c r="A228" s="810" t="s">
        <v>781</v>
      </c>
      <c r="B228" s="810" t="s">
        <v>554</v>
      </c>
      <c r="C228" s="923"/>
      <c r="D228" s="923"/>
      <c r="E228" s="159"/>
      <c r="F228" s="160" t="s">
        <v>198</v>
      </c>
      <c r="G228" s="296">
        <v>1407</v>
      </c>
      <c r="H228" s="304">
        <v>1407</v>
      </c>
      <c r="I228" s="153">
        <f>H228-G228</f>
        <v>0</v>
      </c>
      <c r="J228" s="878">
        <f t="shared" si="27"/>
        <v>0</v>
      </c>
      <c r="K228" s="428"/>
      <c r="L228" s="224"/>
      <c r="M228" s="107"/>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row>
    <row r="229" spans="1:196" s="164" customFormat="1" ht="13.8" hidden="1" outlineLevel="1" x14ac:dyDescent="0.25">
      <c r="A229" s="810" t="s">
        <v>781</v>
      </c>
      <c r="B229" s="810" t="s">
        <v>182</v>
      </c>
      <c r="C229" s="923"/>
      <c r="D229" s="923"/>
      <c r="E229" s="278"/>
      <c r="F229" s="163" t="s">
        <v>167</v>
      </c>
      <c r="G229" s="296">
        <v>8631</v>
      </c>
      <c r="H229" s="304">
        <v>8631</v>
      </c>
      <c r="I229" s="299"/>
      <c r="J229" s="879">
        <f t="shared" si="27"/>
        <v>0</v>
      </c>
      <c r="K229" s="431"/>
      <c r="L229" s="224"/>
      <c r="M229" s="1126"/>
      <c r="N229" s="323"/>
      <c r="O229" s="323"/>
      <c r="P229" s="323"/>
      <c r="Q229" s="323"/>
      <c r="R229" s="323"/>
      <c r="S229" s="323"/>
      <c r="T229" s="323"/>
      <c r="U229" s="323"/>
      <c r="V229" s="323"/>
      <c r="W229" s="323"/>
      <c r="X229" s="323"/>
      <c r="Y229" s="323"/>
      <c r="Z229" s="323"/>
      <c r="AA229" s="323"/>
      <c r="AB229" s="323"/>
      <c r="AC229" s="323"/>
      <c r="AD229" s="323"/>
      <c r="AE229" s="323"/>
      <c r="AF229" s="323"/>
      <c r="AG229" s="323"/>
      <c r="AH229" s="323"/>
      <c r="AI229" s="323"/>
      <c r="AJ229" s="323"/>
      <c r="AK229" s="323"/>
      <c r="AL229" s="323"/>
      <c r="AM229" s="323"/>
      <c r="AN229" s="323"/>
      <c r="AO229" s="323"/>
      <c r="AP229" s="323"/>
      <c r="AQ229" s="323"/>
      <c r="AR229" s="323"/>
      <c r="AS229" s="323"/>
      <c r="AT229" s="323"/>
      <c r="AU229" s="323"/>
      <c r="AV229" s="323"/>
      <c r="AW229" s="323"/>
      <c r="AX229" s="323"/>
      <c r="AY229" s="323"/>
      <c r="AZ229" s="323"/>
      <c r="BA229" s="323"/>
      <c r="BB229" s="323"/>
      <c r="BC229" s="323"/>
      <c r="BD229" s="323"/>
      <c r="BE229" s="323"/>
      <c r="BF229" s="323"/>
      <c r="BG229" s="323"/>
      <c r="BH229" s="323"/>
      <c r="BI229" s="323"/>
      <c r="BJ229" s="323"/>
      <c r="BK229" s="323"/>
      <c r="BL229" s="323"/>
      <c r="BM229" s="323"/>
      <c r="BN229" s="323"/>
      <c r="BO229" s="323"/>
      <c r="BP229" s="323"/>
      <c r="BQ229" s="323"/>
      <c r="BR229" s="323"/>
      <c r="BS229" s="323"/>
      <c r="BT229" s="323"/>
      <c r="BU229" s="323"/>
      <c r="BV229" s="323"/>
      <c r="BW229" s="323"/>
      <c r="BX229" s="323"/>
      <c r="BY229" s="323"/>
      <c r="BZ229" s="323"/>
      <c r="CA229" s="323"/>
      <c r="CB229" s="323"/>
      <c r="CC229" s="323"/>
      <c r="CD229" s="323"/>
      <c r="CE229" s="323"/>
      <c r="CF229" s="323"/>
      <c r="CG229" s="323"/>
      <c r="CH229" s="323"/>
      <c r="CI229" s="323"/>
      <c r="CJ229" s="323"/>
      <c r="CK229" s="323"/>
      <c r="CL229" s="323"/>
      <c r="CM229" s="323"/>
      <c r="CN229" s="323"/>
      <c r="CO229" s="323"/>
      <c r="CP229" s="323"/>
      <c r="CQ229" s="323"/>
      <c r="CR229" s="323"/>
      <c r="CS229" s="323"/>
      <c r="CT229" s="323"/>
      <c r="CU229" s="323"/>
      <c r="CV229" s="323"/>
      <c r="CW229" s="323"/>
      <c r="CX229" s="323"/>
      <c r="CY229" s="323"/>
      <c r="CZ229" s="323"/>
      <c r="DA229" s="323"/>
      <c r="DB229" s="323"/>
      <c r="DC229" s="323"/>
      <c r="DD229" s="323"/>
      <c r="DE229" s="323"/>
      <c r="DF229" s="323"/>
      <c r="DG229" s="323"/>
      <c r="DH229" s="323"/>
      <c r="DI229" s="323"/>
      <c r="DJ229" s="323"/>
      <c r="DK229" s="323"/>
      <c r="DL229" s="323"/>
      <c r="DM229" s="323"/>
      <c r="DN229" s="323"/>
      <c r="DO229" s="323"/>
      <c r="DP229" s="323"/>
      <c r="DQ229" s="323"/>
      <c r="DR229" s="323"/>
      <c r="DS229" s="323"/>
      <c r="DT229" s="323"/>
      <c r="DU229" s="323"/>
      <c r="DV229" s="323"/>
      <c r="DW229" s="323"/>
      <c r="DX229" s="323"/>
      <c r="DY229" s="323"/>
      <c r="DZ229" s="323"/>
      <c r="EA229" s="323"/>
      <c r="EB229" s="323"/>
      <c r="EC229" s="323"/>
      <c r="ED229" s="323"/>
      <c r="EE229" s="323"/>
      <c r="EF229" s="323"/>
      <c r="EG229" s="323"/>
      <c r="EH229" s="323"/>
      <c r="EI229" s="323"/>
      <c r="EJ229" s="323"/>
      <c r="EK229" s="323"/>
      <c r="EL229" s="323"/>
      <c r="EM229" s="323"/>
      <c r="EN229" s="323"/>
      <c r="EO229" s="323"/>
      <c r="EP229" s="323"/>
      <c r="EQ229" s="323"/>
      <c r="ER229" s="323"/>
      <c r="ES229" s="323"/>
      <c r="ET229" s="323"/>
      <c r="EU229" s="323"/>
      <c r="EV229" s="323"/>
      <c r="EW229" s="323"/>
      <c r="EX229" s="323"/>
      <c r="EY229" s="323"/>
      <c r="EZ229" s="323"/>
      <c r="FA229" s="323"/>
      <c r="FB229" s="323"/>
      <c r="FC229" s="323"/>
      <c r="FD229" s="323"/>
      <c r="FE229" s="323"/>
      <c r="FF229" s="323"/>
      <c r="FG229" s="323"/>
      <c r="FH229" s="323"/>
      <c r="FI229" s="323"/>
      <c r="FJ229" s="323"/>
      <c r="FK229" s="323"/>
      <c r="FL229" s="323"/>
      <c r="FM229" s="323"/>
      <c r="FN229" s="323"/>
      <c r="FO229" s="323"/>
      <c r="FP229" s="323"/>
      <c r="FQ229" s="323"/>
      <c r="FR229" s="323"/>
      <c r="FS229" s="323"/>
      <c r="FT229" s="323"/>
      <c r="FU229" s="323"/>
      <c r="FV229" s="323"/>
      <c r="FW229" s="323"/>
      <c r="FX229" s="323"/>
      <c r="FY229" s="323"/>
      <c r="FZ229" s="323"/>
      <c r="GA229" s="323"/>
      <c r="GB229" s="323"/>
      <c r="GC229" s="323"/>
      <c r="GD229" s="323"/>
      <c r="GE229" s="323"/>
      <c r="GF229" s="323"/>
      <c r="GG229" s="323"/>
      <c r="GH229" s="323"/>
      <c r="GI229" s="323"/>
      <c r="GJ229" s="323"/>
      <c r="GK229" s="323"/>
      <c r="GL229" s="323"/>
      <c r="GM229" s="323"/>
      <c r="GN229" s="323"/>
    </row>
    <row r="230" spans="1:196" ht="13.8" collapsed="1" x14ac:dyDescent="0.25">
      <c r="C230" s="923">
        <v>113991</v>
      </c>
      <c r="D230" s="923">
        <f>C230-G230</f>
        <v>2167.2626600000076</v>
      </c>
      <c r="E230" s="141" t="s">
        <v>216</v>
      </c>
      <c r="F230" s="142" t="s">
        <v>97</v>
      </c>
      <c r="G230" s="1">
        <v>111823.73733999999</v>
      </c>
      <c r="H230" s="302">
        <v>132505.09117999999</v>
      </c>
      <c r="I230" s="132">
        <f t="shared" si="25"/>
        <v>20681.353839999996</v>
      </c>
      <c r="J230" s="867">
        <f t="shared" si="27"/>
        <v>0.18494600817282966</v>
      </c>
      <c r="K230" s="418"/>
      <c r="L230" s="224"/>
    </row>
    <row r="231" spans="1:196" s="104" customFormat="1" ht="13.8" hidden="1" outlineLevel="1" x14ac:dyDescent="0.25">
      <c r="A231" s="810" t="s">
        <v>753</v>
      </c>
      <c r="B231" s="810" t="s">
        <v>228</v>
      </c>
      <c r="C231" s="923"/>
      <c r="D231" s="923"/>
      <c r="E231" s="159"/>
      <c r="F231" s="160" t="s">
        <v>228</v>
      </c>
      <c r="G231" s="296">
        <v>103189.41734</v>
      </c>
      <c r="H231" s="304">
        <v>122627.09117999999</v>
      </c>
      <c r="I231" s="161">
        <f t="shared" si="25"/>
        <v>19437.673839999989</v>
      </c>
      <c r="J231" s="884">
        <f t="shared" si="27"/>
        <v>0.18836886902805713</v>
      </c>
      <c r="K231" s="430"/>
      <c r="L231" s="224"/>
      <c r="M231" s="107"/>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row>
    <row r="232" spans="1:196" s="104" customFormat="1" ht="13.8" hidden="1" outlineLevel="1" x14ac:dyDescent="0.25">
      <c r="A232" s="810" t="s">
        <v>753</v>
      </c>
      <c r="B232" s="810" t="s">
        <v>554</v>
      </c>
      <c r="C232" s="923"/>
      <c r="D232" s="923"/>
      <c r="E232" s="214"/>
      <c r="F232" s="215" t="s">
        <v>198</v>
      </c>
      <c r="G232" s="296">
        <v>8058.32</v>
      </c>
      <c r="H232" s="304">
        <v>9878</v>
      </c>
      <c r="I232" s="153">
        <f t="shared" si="25"/>
        <v>1819.6800000000003</v>
      </c>
      <c r="J232" s="878">
        <f t="shared" si="27"/>
        <v>0.22581381727208652</v>
      </c>
      <c r="K232" s="419"/>
      <c r="L232" s="224"/>
      <c r="M232" s="107"/>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row>
    <row r="233" spans="1:196" s="104" customFormat="1" ht="13.8" hidden="1" outlineLevel="1" x14ac:dyDescent="0.25">
      <c r="A233" s="810" t="s">
        <v>753</v>
      </c>
      <c r="B233" s="810" t="s">
        <v>556</v>
      </c>
      <c r="C233" s="923"/>
      <c r="D233" s="923"/>
      <c r="E233" s="214"/>
      <c r="F233" s="160" t="s">
        <v>197</v>
      </c>
      <c r="G233" s="296">
        <v>576</v>
      </c>
      <c r="H233" s="304">
        <v>0</v>
      </c>
      <c r="I233" s="276"/>
      <c r="J233" s="887">
        <f t="shared" si="27"/>
        <v>0</v>
      </c>
      <c r="K233" s="432"/>
      <c r="L233" s="224"/>
      <c r="M233" s="107"/>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row>
    <row r="234" spans="1:196" s="1440" customFormat="1" ht="13.8" hidden="1" outlineLevel="1" x14ac:dyDescent="0.25">
      <c r="A234" s="1441" t="s">
        <v>753</v>
      </c>
      <c r="B234" s="1441" t="s">
        <v>555</v>
      </c>
      <c r="C234" s="1442"/>
      <c r="D234" s="1442"/>
      <c r="E234" s="1445"/>
      <c r="F234" s="1446" t="s">
        <v>555</v>
      </c>
      <c r="G234" s="1443">
        <v>0</v>
      </c>
      <c r="H234" s="1443">
        <v>0</v>
      </c>
      <c r="I234" s="1435">
        <f t="shared" si="25"/>
        <v>0</v>
      </c>
      <c r="J234" s="1436" t="str">
        <f t="shared" si="27"/>
        <v>-</v>
      </c>
      <c r="K234" s="1437"/>
      <c r="L234" s="1444"/>
      <c r="M234" s="1438"/>
      <c r="N234" s="1439"/>
      <c r="O234" s="1439"/>
      <c r="P234" s="1439"/>
      <c r="Q234" s="1439"/>
      <c r="R234" s="1439"/>
      <c r="S234" s="1439"/>
      <c r="T234" s="1439"/>
      <c r="U234" s="1439"/>
      <c r="V234" s="1439"/>
      <c r="W234" s="1439"/>
      <c r="X234" s="1439"/>
      <c r="Y234" s="1439"/>
      <c r="Z234" s="1439"/>
      <c r="AA234" s="1439"/>
      <c r="AB234" s="1439"/>
      <c r="AC234" s="1439"/>
      <c r="AD234" s="1439"/>
      <c r="AE234" s="1439"/>
      <c r="AF234" s="1439"/>
      <c r="AG234" s="1439"/>
      <c r="AH234" s="1439"/>
      <c r="AI234" s="1439"/>
      <c r="AJ234" s="1439"/>
      <c r="AK234" s="1439"/>
      <c r="AL234" s="1439"/>
      <c r="AM234" s="1439"/>
      <c r="AN234" s="1439"/>
      <c r="AO234" s="1439"/>
      <c r="AP234" s="1439"/>
      <c r="AQ234" s="1439"/>
      <c r="AR234" s="1439"/>
      <c r="AS234" s="1439"/>
      <c r="AT234" s="1439"/>
      <c r="AU234" s="1439"/>
      <c r="AV234" s="1439"/>
      <c r="AW234" s="1439"/>
      <c r="AX234" s="1439"/>
      <c r="AY234" s="1439"/>
      <c r="AZ234" s="1439"/>
      <c r="BA234" s="1439"/>
      <c r="BB234" s="1439"/>
      <c r="BC234" s="1439"/>
      <c r="BD234" s="1439"/>
      <c r="BE234" s="1439"/>
      <c r="BF234" s="1439"/>
      <c r="BG234" s="1439"/>
      <c r="BH234" s="1439"/>
      <c r="BI234" s="1439"/>
      <c r="BJ234" s="1439"/>
      <c r="BK234" s="1439"/>
      <c r="BL234" s="1439"/>
      <c r="BM234" s="1439"/>
      <c r="BN234" s="1439"/>
      <c r="BO234" s="1439"/>
      <c r="BP234" s="1439"/>
      <c r="BQ234" s="1439"/>
      <c r="BR234" s="1439"/>
      <c r="BS234" s="1439"/>
      <c r="BT234" s="1439"/>
      <c r="BU234" s="1439"/>
      <c r="BV234" s="1439"/>
      <c r="BW234" s="1439"/>
      <c r="BX234" s="1439"/>
      <c r="BY234" s="1439"/>
      <c r="BZ234" s="1439"/>
      <c r="CA234" s="1439"/>
      <c r="CB234" s="1439"/>
      <c r="CC234" s="1439"/>
      <c r="CD234" s="1439"/>
      <c r="CE234" s="1439"/>
      <c r="CF234" s="1439"/>
      <c r="CG234" s="1439"/>
      <c r="CH234" s="1439"/>
      <c r="CI234" s="1439"/>
      <c r="CJ234" s="1439"/>
      <c r="CK234" s="1439"/>
      <c r="CL234" s="1439"/>
      <c r="CM234" s="1439"/>
      <c r="CN234" s="1439"/>
      <c r="CO234" s="1439"/>
      <c r="CP234" s="1439"/>
      <c r="CQ234" s="1439"/>
      <c r="CR234" s="1439"/>
      <c r="CS234" s="1439"/>
      <c r="CT234" s="1439"/>
      <c r="CU234" s="1439"/>
      <c r="CV234" s="1439"/>
      <c r="CW234" s="1439"/>
      <c r="CX234" s="1439"/>
      <c r="CY234" s="1439"/>
      <c r="CZ234" s="1439"/>
      <c r="DA234" s="1439"/>
      <c r="DB234" s="1439"/>
      <c r="DC234" s="1439"/>
      <c r="DD234" s="1439"/>
      <c r="DE234" s="1439"/>
      <c r="DF234" s="1439"/>
      <c r="DG234" s="1439"/>
      <c r="DH234" s="1439"/>
      <c r="DI234" s="1439"/>
      <c r="DJ234" s="1439"/>
      <c r="DK234" s="1439"/>
      <c r="DL234" s="1439"/>
      <c r="DM234" s="1439"/>
      <c r="DN234" s="1439"/>
      <c r="DO234" s="1439"/>
      <c r="DP234" s="1439"/>
      <c r="DQ234" s="1439"/>
      <c r="DR234" s="1439"/>
      <c r="DS234" s="1439"/>
      <c r="DT234" s="1439"/>
      <c r="DU234" s="1439"/>
      <c r="DV234" s="1439"/>
      <c r="DW234" s="1439"/>
      <c r="DX234" s="1439"/>
      <c r="DY234" s="1439"/>
      <c r="DZ234" s="1439"/>
      <c r="EA234" s="1439"/>
      <c r="EB234" s="1439"/>
      <c r="EC234" s="1439"/>
      <c r="ED234" s="1439"/>
      <c r="EE234" s="1439"/>
      <c r="EF234" s="1439"/>
      <c r="EG234" s="1439"/>
      <c r="EH234" s="1439"/>
      <c r="EI234" s="1439"/>
      <c r="EJ234" s="1439"/>
      <c r="EK234" s="1439"/>
      <c r="EL234" s="1439"/>
      <c r="EM234" s="1439"/>
      <c r="EN234" s="1439"/>
      <c r="EO234" s="1439"/>
      <c r="EP234" s="1439"/>
      <c r="EQ234" s="1439"/>
      <c r="ER234" s="1439"/>
      <c r="ES234" s="1439"/>
      <c r="ET234" s="1439"/>
      <c r="EU234" s="1439"/>
      <c r="EV234" s="1439"/>
      <c r="EW234" s="1439"/>
      <c r="EX234" s="1439"/>
      <c r="EY234" s="1439"/>
      <c r="EZ234" s="1439"/>
      <c r="FA234" s="1439"/>
      <c r="FB234" s="1439"/>
      <c r="FC234" s="1439"/>
      <c r="FD234" s="1439"/>
      <c r="FE234" s="1439"/>
      <c r="FF234" s="1439"/>
      <c r="FG234" s="1439"/>
      <c r="FH234" s="1439"/>
      <c r="FI234" s="1439"/>
      <c r="FJ234" s="1439"/>
      <c r="FK234" s="1439"/>
      <c r="FL234" s="1439"/>
      <c r="FM234" s="1439"/>
      <c r="FN234" s="1439"/>
      <c r="FO234" s="1439"/>
      <c r="FP234" s="1439"/>
      <c r="FQ234" s="1439"/>
      <c r="FR234" s="1439"/>
      <c r="FS234" s="1439"/>
      <c r="FT234" s="1439"/>
      <c r="FU234" s="1439"/>
      <c r="FV234" s="1439"/>
      <c r="FW234" s="1439"/>
      <c r="FX234" s="1439"/>
      <c r="FY234" s="1439"/>
      <c r="FZ234" s="1439"/>
      <c r="GA234" s="1439"/>
      <c r="GB234" s="1439"/>
      <c r="GC234" s="1439"/>
      <c r="GD234" s="1439"/>
      <c r="GE234" s="1439"/>
      <c r="GF234" s="1439"/>
      <c r="GG234" s="1439"/>
      <c r="GH234" s="1439"/>
      <c r="GI234" s="1439"/>
      <c r="GJ234" s="1439"/>
      <c r="GK234" s="1439"/>
      <c r="GL234" s="1439"/>
      <c r="GM234" s="1439"/>
      <c r="GN234" s="1439"/>
    </row>
    <row r="235" spans="1:196" s="925" customFormat="1" ht="13.8" collapsed="1" x14ac:dyDescent="0.25">
      <c r="A235" s="1412"/>
      <c r="B235" s="1411" t="e">
        <f>H235-#REF!</f>
        <v>#REF!</v>
      </c>
      <c r="C235" s="1407"/>
      <c r="D235" s="1407"/>
      <c r="E235" s="1447" t="s">
        <v>28</v>
      </c>
      <c r="F235" s="1448" t="s">
        <v>98</v>
      </c>
      <c r="G235" s="1449">
        <v>11265962.64208425</v>
      </c>
      <c r="H235" s="1449">
        <v>13005734.532097237</v>
      </c>
      <c r="I235" s="355">
        <f>H235-G235</f>
        <v>1739771.890012987</v>
      </c>
      <c r="J235" s="1450">
        <f t="shared" si="27"/>
        <v>0.15442727313101776</v>
      </c>
      <c r="K235" s="1451"/>
      <c r="L235" s="470"/>
      <c r="M235" s="1125"/>
    </row>
    <row r="236" spans="1:196" s="343" customFormat="1" ht="13.8" x14ac:dyDescent="0.25">
      <c r="A236" s="1412"/>
      <c r="B236" s="1412"/>
      <c r="C236" s="1407"/>
      <c r="D236" s="1407"/>
      <c r="E236" s="338"/>
      <c r="F236" s="465" t="s">
        <v>228</v>
      </c>
      <c r="G236" s="466">
        <v>5676395.0281842491</v>
      </c>
      <c r="H236" s="466">
        <v>6566532.7641722355</v>
      </c>
      <c r="I236" s="467">
        <f t="shared" si="25"/>
        <v>890137.73598798644</v>
      </c>
      <c r="J236" s="891">
        <f t="shared" si="27"/>
        <v>0.15681391650304533</v>
      </c>
      <c r="K236" s="342"/>
      <c r="L236" s="470"/>
      <c r="M236" s="1121"/>
      <c r="N236" s="924"/>
      <c r="O236" s="924"/>
      <c r="P236" s="924"/>
      <c r="Q236" s="924"/>
      <c r="R236" s="924"/>
      <c r="S236" s="924"/>
      <c r="T236" s="924"/>
      <c r="U236" s="924"/>
      <c r="V236" s="924"/>
      <c r="W236" s="924"/>
      <c r="X236" s="924"/>
      <c r="Y236" s="924"/>
      <c r="Z236" s="924"/>
      <c r="AA236" s="924"/>
      <c r="AB236" s="924"/>
      <c r="AC236" s="924"/>
      <c r="AD236" s="924"/>
      <c r="AE236" s="924"/>
      <c r="AF236" s="924"/>
      <c r="AG236" s="924"/>
      <c r="AH236" s="924"/>
      <c r="AI236" s="924"/>
      <c r="AJ236" s="924"/>
      <c r="AK236" s="924"/>
      <c r="AL236" s="924"/>
      <c r="AM236" s="924"/>
      <c r="AN236" s="924"/>
      <c r="AO236" s="924"/>
      <c r="AP236" s="924"/>
      <c r="AQ236" s="924"/>
      <c r="AR236" s="924"/>
      <c r="AS236" s="924"/>
      <c r="AT236" s="924"/>
      <c r="AU236" s="924"/>
      <c r="AV236" s="924"/>
      <c r="AW236" s="924"/>
      <c r="AX236" s="924"/>
      <c r="AY236" s="924"/>
      <c r="AZ236" s="924"/>
      <c r="BA236" s="924"/>
      <c r="BB236" s="924"/>
      <c r="BC236" s="924"/>
      <c r="BD236" s="924"/>
      <c r="BE236" s="924"/>
      <c r="BF236" s="924"/>
      <c r="BG236" s="924"/>
      <c r="BH236" s="924"/>
      <c r="BI236" s="924"/>
      <c r="BJ236" s="924"/>
      <c r="BK236" s="924"/>
      <c r="BL236" s="924"/>
      <c r="BM236" s="924"/>
      <c r="BN236" s="924"/>
      <c r="BO236" s="924"/>
      <c r="BP236" s="924"/>
      <c r="BQ236" s="924"/>
      <c r="BR236" s="924"/>
      <c r="BS236" s="924"/>
      <c r="BT236" s="924"/>
      <c r="BU236" s="924"/>
      <c r="BV236" s="924"/>
      <c r="BW236" s="924"/>
      <c r="BX236" s="924"/>
      <c r="BY236" s="924"/>
      <c r="BZ236" s="924"/>
      <c r="CA236" s="924"/>
      <c r="CB236" s="924"/>
      <c r="CC236" s="924"/>
      <c r="CD236" s="924"/>
      <c r="CE236" s="924"/>
      <c r="CF236" s="924"/>
      <c r="CG236" s="924"/>
      <c r="CH236" s="924"/>
      <c r="CI236" s="924"/>
      <c r="CJ236" s="924"/>
      <c r="CK236" s="924"/>
      <c r="CL236" s="924"/>
      <c r="CM236" s="924"/>
      <c r="CN236" s="924"/>
      <c r="CO236" s="924"/>
      <c r="CP236" s="924"/>
      <c r="CQ236" s="924"/>
      <c r="CR236" s="924"/>
      <c r="CS236" s="924"/>
      <c r="CT236" s="924"/>
      <c r="CU236" s="924"/>
      <c r="CV236" s="924"/>
      <c r="CW236" s="924"/>
      <c r="CX236" s="924"/>
      <c r="CY236" s="924"/>
      <c r="CZ236" s="924"/>
      <c r="DA236" s="924"/>
      <c r="DB236" s="924"/>
      <c r="DC236" s="924"/>
      <c r="DD236" s="924"/>
      <c r="DE236" s="924"/>
      <c r="DF236" s="924"/>
      <c r="DG236" s="924"/>
      <c r="DH236" s="924"/>
      <c r="DI236" s="924"/>
      <c r="DJ236" s="924"/>
      <c r="DK236" s="924"/>
      <c r="DL236" s="924"/>
      <c r="DM236" s="924"/>
      <c r="DN236" s="924"/>
      <c r="DO236" s="924"/>
      <c r="DP236" s="924"/>
      <c r="DQ236" s="924"/>
      <c r="DR236" s="924"/>
      <c r="DS236" s="924"/>
      <c r="DT236" s="924"/>
      <c r="DU236" s="924"/>
      <c r="DV236" s="924"/>
      <c r="DW236" s="924"/>
      <c r="DX236" s="924"/>
      <c r="DY236" s="924"/>
      <c r="DZ236" s="924"/>
      <c r="EA236" s="924"/>
      <c r="EB236" s="924"/>
      <c r="EC236" s="924"/>
      <c r="ED236" s="924"/>
      <c r="EE236" s="924"/>
      <c r="EF236" s="924"/>
      <c r="EG236" s="924"/>
      <c r="EH236" s="924"/>
      <c r="EI236" s="924"/>
      <c r="EJ236" s="924"/>
      <c r="EK236" s="924"/>
      <c r="EL236" s="924"/>
      <c r="EM236" s="924"/>
      <c r="EN236" s="924"/>
      <c r="EO236" s="924"/>
      <c r="EP236" s="924"/>
      <c r="EQ236" s="924"/>
      <c r="ER236" s="924"/>
      <c r="ES236" s="924"/>
      <c r="ET236" s="924"/>
      <c r="EU236" s="924"/>
      <c r="EV236" s="924"/>
      <c r="EW236" s="924"/>
      <c r="EX236" s="924"/>
      <c r="EY236" s="924"/>
      <c r="EZ236" s="924"/>
      <c r="FA236" s="924"/>
      <c r="FB236" s="924"/>
      <c r="FC236" s="924"/>
      <c r="FD236" s="924"/>
      <c r="FE236" s="924"/>
      <c r="FF236" s="924"/>
      <c r="FG236" s="924"/>
      <c r="FH236" s="924"/>
      <c r="FI236" s="924"/>
      <c r="FJ236" s="924"/>
      <c r="FK236" s="924"/>
      <c r="FL236" s="924"/>
      <c r="FM236" s="924"/>
      <c r="FN236" s="924"/>
      <c r="FO236" s="924"/>
      <c r="FP236" s="924"/>
      <c r="FQ236" s="924"/>
      <c r="FR236" s="924"/>
      <c r="FS236" s="924"/>
      <c r="FT236" s="924"/>
      <c r="FU236" s="924"/>
      <c r="FV236" s="924"/>
      <c r="FW236" s="924"/>
      <c r="FX236" s="924"/>
      <c r="FY236" s="924"/>
      <c r="FZ236" s="924"/>
      <c r="GA236" s="924"/>
      <c r="GB236" s="924"/>
      <c r="GC236" s="924"/>
      <c r="GD236" s="924"/>
      <c r="GE236" s="924"/>
      <c r="GF236" s="924"/>
      <c r="GG236" s="924"/>
      <c r="GH236" s="924"/>
      <c r="GI236" s="924"/>
      <c r="GJ236" s="924"/>
      <c r="GK236" s="924"/>
      <c r="GL236" s="924"/>
      <c r="GM236" s="924"/>
      <c r="GN236" s="924"/>
    </row>
    <row r="237" spans="1:196" s="343" customFormat="1" ht="13.8" x14ac:dyDescent="0.25">
      <c r="A237" s="1412"/>
      <c r="B237" s="1412"/>
      <c r="C237" s="1407"/>
      <c r="D237" s="1407"/>
      <c r="E237" s="344"/>
      <c r="F237" s="468" t="s">
        <v>198</v>
      </c>
      <c r="G237" s="466">
        <v>5463022.6139000002</v>
      </c>
      <c r="H237" s="349">
        <v>6311070.3939249991</v>
      </c>
      <c r="I237" s="467">
        <f>H237-G237</f>
        <v>848047.78002499882</v>
      </c>
      <c r="J237" s="891">
        <f t="shared" si="27"/>
        <v>0.15523416979223989</v>
      </c>
      <c r="K237" s="348"/>
      <c r="L237" s="470"/>
      <c r="M237" s="1121"/>
      <c r="N237" s="924"/>
      <c r="O237" s="924"/>
      <c r="P237" s="924"/>
      <c r="Q237" s="924"/>
      <c r="R237" s="924"/>
      <c r="S237" s="924"/>
      <c r="T237" s="924"/>
      <c r="U237" s="924"/>
      <c r="V237" s="924"/>
      <c r="W237" s="924"/>
      <c r="X237" s="924"/>
      <c r="Y237" s="924"/>
      <c r="Z237" s="924"/>
      <c r="AA237" s="924"/>
      <c r="AB237" s="924"/>
      <c r="AC237" s="924"/>
      <c r="AD237" s="924"/>
      <c r="AE237" s="924"/>
      <c r="AF237" s="924"/>
      <c r="AG237" s="924"/>
      <c r="AH237" s="924"/>
      <c r="AI237" s="924"/>
      <c r="AJ237" s="924"/>
      <c r="AK237" s="924"/>
      <c r="AL237" s="924"/>
      <c r="AM237" s="924"/>
      <c r="AN237" s="924"/>
      <c r="AO237" s="924"/>
      <c r="AP237" s="924"/>
      <c r="AQ237" s="924"/>
      <c r="AR237" s="924"/>
      <c r="AS237" s="924"/>
      <c r="AT237" s="924"/>
      <c r="AU237" s="924"/>
      <c r="AV237" s="924"/>
      <c r="AW237" s="924"/>
      <c r="AX237" s="924"/>
      <c r="AY237" s="924"/>
      <c r="AZ237" s="924"/>
      <c r="BA237" s="924"/>
      <c r="BB237" s="924"/>
      <c r="BC237" s="924"/>
      <c r="BD237" s="924"/>
      <c r="BE237" s="924"/>
      <c r="BF237" s="924"/>
      <c r="BG237" s="924"/>
      <c r="BH237" s="924"/>
      <c r="BI237" s="924"/>
      <c r="BJ237" s="924"/>
      <c r="BK237" s="924"/>
      <c r="BL237" s="924"/>
      <c r="BM237" s="924"/>
      <c r="BN237" s="924"/>
      <c r="BO237" s="924"/>
      <c r="BP237" s="924"/>
      <c r="BQ237" s="924"/>
      <c r="BR237" s="924"/>
      <c r="BS237" s="924"/>
      <c r="BT237" s="924"/>
      <c r="BU237" s="924"/>
      <c r="BV237" s="924"/>
      <c r="BW237" s="924"/>
      <c r="BX237" s="924"/>
      <c r="BY237" s="924"/>
      <c r="BZ237" s="924"/>
      <c r="CA237" s="924"/>
      <c r="CB237" s="924"/>
      <c r="CC237" s="924"/>
      <c r="CD237" s="924"/>
      <c r="CE237" s="924"/>
      <c r="CF237" s="924"/>
      <c r="CG237" s="924"/>
      <c r="CH237" s="924"/>
      <c r="CI237" s="924"/>
      <c r="CJ237" s="924"/>
      <c r="CK237" s="924"/>
      <c r="CL237" s="924"/>
      <c r="CM237" s="924"/>
      <c r="CN237" s="924"/>
      <c r="CO237" s="924"/>
      <c r="CP237" s="924"/>
      <c r="CQ237" s="924"/>
      <c r="CR237" s="924"/>
      <c r="CS237" s="924"/>
      <c r="CT237" s="924"/>
      <c r="CU237" s="924"/>
      <c r="CV237" s="924"/>
      <c r="CW237" s="924"/>
      <c r="CX237" s="924"/>
      <c r="CY237" s="924"/>
      <c r="CZ237" s="924"/>
      <c r="DA237" s="924"/>
      <c r="DB237" s="924"/>
      <c r="DC237" s="924"/>
      <c r="DD237" s="924"/>
      <c r="DE237" s="924"/>
      <c r="DF237" s="924"/>
      <c r="DG237" s="924"/>
      <c r="DH237" s="924"/>
      <c r="DI237" s="924"/>
      <c r="DJ237" s="924"/>
      <c r="DK237" s="924"/>
      <c r="DL237" s="924"/>
      <c r="DM237" s="924"/>
      <c r="DN237" s="924"/>
      <c r="DO237" s="924"/>
      <c r="DP237" s="924"/>
      <c r="DQ237" s="924"/>
      <c r="DR237" s="924"/>
      <c r="DS237" s="924"/>
      <c r="DT237" s="924"/>
      <c r="DU237" s="924"/>
      <c r="DV237" s="924"/>
      <c r="DW237" s="924"/>
      <c r="DX237" s="924"/>
      <c r="DY237" s="924"/>
      <c r="DZ237" s="924"/>
      <c r="EA237" s="924"/>
      <c r="EB237" s="924"/>
      <c r="EC237" s="924"/>
      <c r="ED237" s="924"/>
      <c r="EE237" s="924"/>
      <c r="EF237" s="924"/>
      <c r="EG237" s="924"/>
      <c r="EH237" s="924"/>
      <c r="EI237" s="924"/>
      <c r="EJ237" s="924"/>
      <c r="EK237" s="924"/>
      <c r="EL237" s="924"/>
      <c r="EM237" s="924"/>
      <c r="EN237" s="924"/>
      <c r="EO237" s="924"/>
      <c r="EP237" s="924"/>
      <c r="EQ237" s="924"/>
      <c r="ER237" s="924"/>
      <c r="ES237" s="924"/>
      <c r="ET237" s="924"/>
      <c r="EU237" s="924"/>
      <c r="EV237" s="924"/>
      <c r="EW237" s="924"/>
      <c r="EX237" s="924"/>
      <c r="EY237" s="924"/>
      <c r="EZ237" s="924"/>
      <c r="FA237" s="924"/>
      <c r="FB237" s="924"/>
      <c r="FC237" s="924"/>
      <c r="FD237" s="924"/>
      <c r="FE237" s="924"/>
      <c r="FF237" s="924"/>
      <c r="FG237" s="924"/>
      <c r="FH237" s="924"/>
      <c r="FI237" s="924"/>
      <c r="FJ237" s="924"/>
      <c r="FK237" s="924"/>
      <c r="FL237" s="924"/>
      <c r="FM237" s="924"/>
      <c r="FN237" s="924"/>
      <c r="FO237" s="924"/>
      <c r="FP237" s="924"/>
      <c r="FQ237" s="924"/>
      <c r="FR237" s="924"/>
      <c r="FS237" s="924"/>
      <c r="FT237" s="924"/>
      <c r="FU237" s="924"/>
      <c r="FV237" s="924"/>
      <c r="FW237" s="924"/>
      <c r="FX237" s="924"/>
      <c r="FY237" s="924"/>
      <c r="FZ237" s="924"/>
      <c r="GA237" s="924"/>
      <c r="GB237" s="924"/>
      <c r="GC237" s="924"/>
      <c r="GD237" s="924"/>
      <c r="GE237" s="924"/>
      <c r="GF237" s="924"/>
      <c r="GG237" s="924"/>
      <c r="GH237" s="924"/>
      <c r="GI237" s="924"/>
      <c r="GJ237" s="924"/>
      <c r="GK237" s="924"/>
      <c r="GL237" s="924"/>
      <c r="GM237" s="924"/>
      <c r="GN237" s="924"/>
    </row>
    <row r="238" spans="1:196" s="343" customFormat="1" ht="14.4" x14ac:dyDescent="0.3">
      <c r="A238" s="1412"/>
      <c r="B238" s="1412"/>
      <c r="C238" s="1407"/>
      <c r="D238" s="1407"/>
      <c r="E238" s="344"/>
      <c r="F238" s="469" t="s">
        <v>197</v>
      </c>
      <c r="G238" s="349">
        <v>126545</v>
      </c>
      <c r="H238" s="349">
        <v>128131.374</v>
      </c>
      <c r="I238" s="467">
        <f>H238-G238</f>
        <v>1586.3739999999962</v>
      </c>
      <c r="J238" s="891">
        <f t="shared" si="27"/>
        <v>1.2536046465684113E-2</v>
      </c>
      <c r="K238" s="348"/>
      <c r="L238" s="470"/>
      <c r="M238" s="1121"/>
      <c r="N238" s="924"/>
      <c r="O238" s="924"/>
      <c r="P238" s="924"/>
      <c r="Q238" s="924"/>
      <c r="R238" s="924"/>
      <c r="S238" s="924"/>
      <c r="T238" s="924"/>
      <c r="U238" s="924"/>
      <c r="V238" s="924"/>
      <c r="W238" s="924"/>
      <c r="X238" s="924"/>
      <c r="Y238" s="924"/>
      <c r="Z238" s="924"/>
      <c r="AA238" s="924"/>
      <c r="AB238" s="924"/>
      <c r="AC238" s="924"/>
      <c r="AD238" s="924"/>
      <c r="AE238" s="924"/>
      <c r="AF238" s="924"/>
      <c r="AG238" s="924"/>
      <c r="AH238" s="924"/>
      <c r="AI238" s="924"/>
      <c r="AJ238" s="924"/>
      <c r="AK238" s="924"/>
      <c r="AL238" s="924"/>
      <c r="AM238" s="924"/>
      <c r="AN238" s="924"/>
      <c r="AO238" s="924"/>
      <c r="AP238" s="924"/>
      <c r="AQ238" s="924"/>
      <c r="AR238" s="924"/>
      <c r="AS238" s="924"/>
      <c r="AT238" s="924"/>
      <c r="AU238" s="924"/>
      <c r="AV238" s="924"/>
      <c r="AW238" s="924"/>
      <c r="AX238" s="924"/>
      <c r="AY238" s="924"/>
      <c r="AZ238" s="924"/>
      <c r="BA238" s="924"/>
      <c r="BB238" s="924"/>
      <c r="BC238" s="924"/>
      <c r="BD238" s="924"/>
      <c r="BE238" s="924"/>
      <c r="BF238" s="924"/>
      <c r="BG238" s="924"/>
      <c r="BH238" s="924"/>
      <c r="BI238" s="924"/>
      <c r="BJ238" s="924"/>
      <c r="BK238" s="924"/>
      <c r="BL238" s="924"/>
      <c r="BM238" s="924"/>
      <c r="BN238" s="924"/>
      <c r="BO238" s="924"/>
      <c r="BP238" s="924"/>
      <c r="BQ238" s="924"/>
      <c r="BR238" s="924"/>
      <c r="BS238" s="924"/>
      <c r="BT238" s="924"/>
      <c r="BU238" s="924"/>
      <c r="BV238" s="924"/>
      <c r="BW238" s="924"/>
      <c r="BX238" s="924"/>
      <c r="BY238" s="924"/>
      <c r="BZ238" s="924"/>
      <c r="CA238" s="924"/>
      <c r="CB238" s="924"/>
      <c r="CC238" s="924"/>
      <c r="CD238" s="924"/>
      <c r="CE238" s="924"/>
      <c r="CF238" s="924"/>
      <c r="CG238" s="924"/>
      <c r="CH238" s="924"/>
      <c r="CI238" s="924"/>
      <c r="CJ238" s="924"/>
      <c r="CK238" s="924"/>
      <c r="CL238" s="924"/>
      <c r="CM238" s="924"/>
      <c r="CN238" s="924"/>
      <c r="CO238" s="924"/>
      <c r="CP238" s="924"/>
      <c r="CQ238" s="924"/>
      <c r="CR238" s="924"/>
      <c r="CS238" s="924"/>
      <c r="CT238" s="924"/>
      <c r="CU238" s="924"/>
      <c r="CV238" s="924"/>
      <c r="CW238" s="924"/>
      <c r="CX238" s="924"/>
      <c r="CY238" s="924"/>
      <c r="CZ238" s="924"/>
      <c r="DA238" s="924"/>
      <c r="DB238" s="924"/>
      <c r="DC238" s="924"/>
      <c r="DD238" s="924"/>
      <c r="DE238" s="924"/>
      <c r="DF238" s="924"/>
      <c r="DG238" s="924"/>
      <c r="DH238" s="924"/>
      <c r="DI238" s="924"/>
      <c r="DJ238" s="924"/>
      <c r="DK238" s="924"/>
      <c r="DL238" s="924"/>
      <c r="DM238" s="924"/>
      <c r="DN238" s="924"/>
      <c r="DO238" s="924"/>
      <c r="DP238" s="924"/>
      <c r="DQ238" s="924"/>
      <c r="DR238" s="924"/>
      <c r="DS238" s="924"/>
      <c r="DT238" s="924"/>
      <c r="DU238" s="924"/>
      <c r="DV238" s="924"/>
      <c r="DW238" s="924"/>
      <c r="DX238" s="924"/>
      <c r="DY238" s="924"/>
      <c r="DZ238" s="924"/>
      <c r="EA238" s="924"/>
      <c r="EB238" s="924"/>
      <c r="EC238" s="924"/>
      <c r="ED238" s="924"/>
      <c r="EE238" s="924"/>
      <c r="EF238" s="924"/>
      <c r="EG238" s="924"/>
      <c r="EH238" s="924"/>
      <c r="EI238" s="924"/>
      <c r="EJ238" s="924"/>
      <c r="EK238" s="924"/>
      <c r="EL238" s="924"/>
      <c r="EM238" s="924"/>
      <c r="EN238" s="924"/>
      <c r="EO238" s="924"/>
      <c r="EP238" s="924"/>
      <c r="EQ238" s="924"/>
      <c r="ER238" s="924"/>
      <c r="ES238" s="924"/>
      <c r="ET238" s="924"/>
      <c r="EU238" s="924"/>
      <c r="EV238" s="924"/>
      <c r="EW238" s="924"/>
      <c r="EX238" s="924"/>
      <c r="EY238" s="924"/>
      <c r="EZ238" s="924"/>
      <c r="FA238" s="924"/>
      <c r="FB238" s="924"/>
      <c r="FC238" s="924"/>
      <c r="FD238" s="924"/>
      <c r="FE238" s="924"/>
      <c r="FF238" s="924"/>
      <c r="FG238" s="924"/>
      <c r="FH238" s="924"/>
      <c r="FI238" s="924"/>
      <c r="FJ238" s="924"/>
      <c r="FK238" s="924"/>
      <c r="FL238" s="924"/>
      <c r="FM238" s="924"/>
      <c r="FN238" s="924"/>
      <c r="FO238" s="924"/>
      <c r="FP238" s="924"/>
      <c r="FQ238" s="924"/>
      <c r="FR238" s="924"/>
      <c r="FS238" s="924"/>
      <c r="FT238" s="924"/>
      <c r="FU238" s="924"/>
      <c r="FV238" s="924"/>
      <c r="FW238" s="924"/>
      <c r="FX238" s="924"/>
      <c r="FY238" s="924"/>
      <c r="FZ238" s="924"/>
      <c r="GA238" s="924"/>
      <c r="GB238" s="924"/>
      <c r="GC238" s="924"/>
      <c r="GD238" s="924"/>
      <c r="GE238" s="924"/>
      <c r="GF238" s="924"/>
      <c r="GG238" s="924"/>
      <c r="GH238" s="924"/>
      <c r="GI238" s="924"/>
      <c r="GJ238" s="924"/>
      <c r="GK238" s="924"/>
      <c r="GL238" s="924"/>
      <c r="GM238" s="924"/>
      <c r="GN238" s="924"/>
    </row>
    <row r="239" spans="1:196" s="537" customFormat="1" ht="14.4" x14ac:dyDescent="0.3">
      <c r="A239" s="1413"/>
      <c r="B239" s="1413"/>
      <c r="C239" s="1414"/>
      <c r="D239" s="1414"/>
      <c r="E239" s="1452"/>
      <c r="F239" s="1453" t="s">
        <v>167</v>
      </c>
      <c r="G239" s="1454">
        <v>5520350.4989839997</v>
      </c>
      <c r="H239" s="1454">
        <v>6626668.4209480006</v>
      </c>
      <c r="I239" s="1455">
        <f t="shared" ref="I239:I276" si="30">H239-G239</f>
        <v>1106317.9219640009</v>
      </c>
      <c r="J239" s="1456">
        <f t="shared" si="27"/>
        <v>0.20040718830581766</v>
      </c>
      <c r="K239" s="1457"/>
      <c r="L239" s="1417"/>
      <c r="M239" s="1123"/>
      <c r="N239" s="926"/>
      <c r="O239" s="926"/>
      <c r="P239" s="926"/>
      <c r="Q239" s="926"/>
      <c r="R239" s="926"/>
      <c r="S239" s="926"/>
      <c r="T239" s="926"/>
      <c r="U239" s="926"/>
      <c r="V239" s="926"/>
      <c r="W239" s="926"/>
      <c r="X239" s="926"/>
      <c r="Y239" s="926"/>
      <c r="Z239" s="926"/>
      <c r="AA239" s="926"/>
      <c r="AB239" s="926"/>
      <c r="AC239" s="926"/>
      <c r="AD239" s="926"/>
      <c r="AE239" s="926"/>
      <c r="AF239" s="926"/>
      <c r="AG239" s="926"/>
      <c r="AH239" s="926"/>
      <c r="AI239" s="926"/>
      <c r="AJ239" s="926"/>
      <c r="AK239" s="926"/>
      <c r="AL239" s="926"/>
      <c r="AM239" s="926"/>
      <c r="AN239" s="926"/>
      <c r="AO239" s="926"/>
      <c r="AP239" s="926"/>
      <c r="AQ239" s="926"/>
      <c r="AR239" s="926"/>
      <c r="AS239" s="926"/>
      <c r="AT239" s="926"/>
      <c r="AU239" s="926"/>
      <c r="AV239" s="926"/>
      <c r="AW239" s="926"/>
      <c r="AX239" s="926"/>
      <c r="AY239" s="926"/>
      <c r="AZ239" s="926"/>
      <c r="BA239" s="926"/>
      <c r="BB239" s="926"/>
      <c r="BC239" s="926"/>
      <c r="BD239" s="926"/>
      <c r="BE239" s="926"/>
      <c r="BF239" s="926"/>
      <c r="BG239" s="926"/>
      <c r="BH239" s="926"/>
      <c r="BI239" s="926"/>
      <c r="BJ239" s="926"/>
      <c r="BK239" s="926"/>
      <c r="BL239" s="926"/>
      <c r="BM239" s="926"/>
      <c r="BN239" s="926"/>
      <c r="BO239" s="926"/>
      <c r="BP239" s="926"/>
      <c r="BQ239" s="926"/>
      <c r="BR239" s="926"/>
      <c r="BS239" s="926"/>
      <c r="BT239" s="926"/>
      <c r="BU239" s="926"/>
      <c r="BV239" s="926"/>
      <c r="BW239" s="926"/>
      <c r="BX239" s="926"/>
      <c r="BY239" s="926"/>
      <c r="BZ239" s="926"/>
      <c r="CA239" s="926"/>
      <c r="CB239" s="926"/>
      <c r="CC239" s="926"/>
      <c r="CD239" s="926"/>
      <c r="CE239" s="926"/>
      <c r="CF239" s="926"/>
      <c r="CG239" s="926"/>
      <c r="CH239" s="926"/>
      <c r="CI239" s="926"/>
      <c r="CJ239" s="926"/>
      <c r="CK239" s="926"/>
      <c r="CL239" s="926"/>
      <c r="CM239" s="926"/>
      <c r="CN239" s="926"/>
      <c r="CO239" s="926"/>
      <c r="CP239" s="926"/>
      <c r="CQ239" s="926"/>
      <c r="CR239" s="926"/>
      <c r="CS239" s="926"/>
      <c r="CT239" s="926"/>
      <c r="CU239" s="926"/>
      <c r="CV239" s="926"/>
      <c r="CW239" s="926"/>
      <c r="CX239" s="926"/>
      <c r="CY239" s="926"/>
      <c r="CZ239" s="926"/>
      <c r="DA239" s="926"/>
      <c r="DB239" s="926"/>
      <c r="DC239" s="926"/>
      <c r="DD239" s="926"/>
      <c r="DE239" s="926"/>
      <c r="DF239" s="926"/>
      <c r="DG239" s="926"/>
      <c r="DH239" s="926"/>
      <c r="DI239" s="926"/>
      <c r="DJ239" s="926"/>
      <c r="DK239" s="926"/>
      <c r="DL239" s="926"/>
      <c r="DM239" s="926"/>
      <c r="DN239" s="926"/>
      <c r="DO239" s="926"/>
      <c r="DP239" s="926"/>
      <c r="DQ239" s="926"/>
      <c r="DR239" s="926"/>
      <c r="DS239" s="926"/>
      <c r="DT239" s="926"/>
      <c r="DU239" s="926"/>
      <c r="DV239" s="926"/>
      <c r="DW239" s="926"/>
      <c r="DX239" s="926"/>
      <c r="DY239" s="926"/>
      <c r="DZ239" s="926"/>
      <c r="EA239" s="926"/>
      <c r="EB239" s="926"/>
      <c r="EC239" s="926"/>
      <c r="ED239" s="926"/>
      <c r="EE239" s="926"/>
      <c r="EF239" s="926"/>
      <c r="EG239" s="926"/>
      <c r="EH239" s="926"/>
      <c r="EI239" s="926"/>
      <c r="EJ239" s="926"/>
      <c r="EK239" s="926"/>
      <c r="EL239" s="926"/>
      <c r="EM239" s="926"/>
      <c r="EN239" s="926"/>
      <c r="EO239" s="926"/>
      <c r="EP239" s="926"/>
      <c r="EQ239" s="926"/>
      <c r="ER239" s="926"/>
      <c r="ES239" s="926"/>
      <c r="ET239" s="926"/>
      <c r="EU239" s="926"/>
      <c r="EV239" s="926"/>
      <c r="EW239" s="926"/>
      <c r="EX239" s="926"/>
      <c r="EY239" s="926"/>
      <c r="EZ239" s="926"/>
      <c r="FA239" s="926"/>
      <c r="FB239" s="926"/>
      <c r="FC239" s="926"/>
      <c r="FD239" s="926"/>
      <c r="FE239" s="926"/>
      <c r="FF239" s="926"/>
      <c r="FG239" s="926"/>
      <c r="FH239" s="926"/>
      <c r="FI239" s="926"/>
      <c r="FJ239" s="926"/>
      <c r="FK239" s="926"/>
      <c r="FL239" s="926"/>
      <c r="FM239" s="926"/>
      <c r="FN239" s="926"/>
      <c r="FO239" s="926"/>
      <c r="FP239" s="926"/>
      <c r="FQ239" s="926"/>
      <c r="FR239" s="926"/>
      <c r="FS239" s="926"/>
      <c r="FT239" s="926"/>
      <c r="FU239" s="926"/>
      <c r="FV239" s="926"/>
      <c r="FW239" s="926"/>
      <c r="FX239" s="926"/>
      <c r="FY239" s="926"/>
      <c r="FZ239" s="926"/>
      <c r="GA239" s="926"/>
      <c r="GB239" s="926"/>
      <c r="GC239" s="926"/>
      <c r="GD239" s="926"/>
      <c r="GE239" s="926"/>
      <c r="GF239" s="926"/>
      <c r="GG239" s="926"/>
      <c r="GH239" s="926"/>
      <c r="GI239" s="926"/>
      <c r="GJ239" s="926"/>
      <c r="GK239" s="926"/>
      <c r="GL239" s="926"/>
      <c r="GM239" s="926"/>
      <c r="GN239" s="926"/>
    </row>
    <row r="240" spans="1:196" s="525" customFormat="1" ht="13.8" x14ac:dyDescent="0.25">
      <c r="A240" s="1413"/>
      <c r="B240" s="1413"/>
      <c r="C240" s="1414"/>
      <c r="D240" s="1414"/>
      <c r="E240" s="523"/>
      <c r="F240" s="860" t="s">
        <v>555</v>
      </c>
      <c r="G240" s="518">
        <v>987167.34</v>
      </c>
      <c r="H240" s="518">
        <v>776028.8</v>
      </c>
      <c r="I240" s="513">
        <f t="shared" si="30"/>
        <v>-211138.53999999992</v>
      </c>
      <c r="J240" s="892">
        <f t="shared" si="27"/>
        <v>-0.21388323078030511</v>
      </c>
      <c r="K240" s="1458"/>
      <c r="L240" s="1417"/>
      <c r="M240" s="1122"/>
      <c r="N240" s="515"/>
      <c r="O240" s="515"/>
      <c r="P240" s="515"/>
      <c r="Q240" s="515"/>
      <c r="R240" s="515"/>
      <c r="S240" s="515"/>
      <c r="T240" s="515"/>
      <c r="U240" s="515"/>
      <c r="V240" s="515"/>
      <c r="W240" s="515"/>
      <c r="X240" s="515"/>
      <c r="Y240" s="515"/>
      <c r="Z240" s="515"/>
      <c r="AA240" s="515"/>
      <c r="AB240" s="515"/>
      <c r="AC240" s="515"/>
      <c r="AD240" s="515"/>
      <c r="AE240" s="515"/>
      <c r="AF240" s="515"/>
      <c r="AG240" s="515"/>
      <c r="AH240" s="515"/>
      <c r="AI240" s="515"/>
      <c r="AJ240" s="515"/>
      <c r="AK240" s="515"/>
      <c r="AL240" s="515"/>
      <c r="AM240" s="515"/>
      <c r="AN240" s="515"/>
      <c r="AO240" s="515"/>
      <c r="AP240" s="515"/>
      <c r="AQ240" s="515"/>
      <c r="AR240" s="515"/>
      <c r="AS240" s="515"/>
      <c r="AT240" s="515"/>
      <c r="AU240" s="515"/>
      <c r="AV240" s="515"/>
      <c r="AW240" s="515"/>
      <c r="AX240" s="515"/>
      <c r="AY240" s="515"/>
      <c r="AZ240" s="515"/>
      <c r="BA240" s="515"/>
      <c r="BB240" s="515"/>
      <c r="BC240" s="515"/>
      <c r="BD240" s="515"/>
      <c r="BE240" s="515"/>
      <c r="BF240" s="515"/>
      <c r="BG240" s="515"/>
      <c r="BH240" s="515"/>
      <c r="BI240" s="515"/>
      <c r="BJ240" s="515"/>
      <c r="BK240" s="515"/>
      <c r="BL240" s="515"/>
      <c r="BM240" s="515"/>
      <c r="BN240" s="515"/>
      <c r="BO240" s="515"/>
      <c r="BP240" s="515"/>
      <c r="BQ240" s="515"/>
      <c r="BR240" s="515"/>
      <c r="BS240" s="515"/>
      <c r="BT240" s="515"/>
      <c r="BU240" s="515"/>
      <c r="BV240" s="515"/>
      <c r="BW240" s="515"/>
      <c r="BX240" s="515"/>
      <c r="BY240" s="515"/>
      <c r="BZ240" s="515"/>
      <c r="CA240" s="515"/>
      <c r="CB240" s="515"/>
      <c r="CC240" s="515"/>
      <c r="CD240" s="515"/>
      <c r="CE240" s="515"/>
      <c r="CF240" s="515"/>
      <c r="CG240" s="515"/>
      <c r="CH240" s="515"/>
      <c r="CI240" s="515"/>
      <c r="CJ240" s="515"/>
      <c r="CK240" s="515"/>
      <c r="CL240" s="515"/>
      <c r="CM240" s="515"/>
      <c r="CN240" s="515"/>
      <c r="CO240" s="515"/>
      <c r="CP240" s="515"/>
      <c r="CQ240" s="515"/>
      <c r="CR240" s="515"/>
      <c r="CS240" s="515"/>
      <c r="CT240" s="515"/>
      <c r="CU240" s="515"/>
      <c r="CV240" s="515"/>
      <c r="CW240" s="515"/>
      <c r="CX240" s="515"/>
      <c r="CY240" s="515"/>
      <c r="CZ240" s="515"/>
      <c r="DA240" s="515"/>
      <c r="DB240" s="515"/>
      <c r="DC240" s="515"/>
      <c r="DD240" s="515"/>
      <c r="DE240" s="515"/>
      <c r="DF240" s="515"/>
      <c r="DG240" s="515"/>
      <c r="DH240" s="515"/>
      <c r="DI240" s="515"/>
      <c r="DJ240" s="515"/>
      <c r="DK240" s="515"/>
      <c r="DL240" s="515"/>
      <c r="DM240" s="515"/>
      <c r="DN240" s="515"/>
      <c r="DO240" s="515"/>
      <c r="DP240" s="515"/>
      <c r="DQ240" s="515"/>
      <c r="DR240" s="515"/>
      <c r="DS240" s="515"/>
      <c r="DT240" s="515"/>
      <c r="DU240" s="515"/>
      <c r="DV240" s="515"/>
      <c r="DW240" s="515"/>
      <c r="DX240" s="515"/>
      <c r="DY240" s="515"/>
      <c r="DZ240" s="515"/>
      <c r="EA240" s="515"/>
      <c r="EB240" s="515"/>
      <c r="EC240" s="515"/>
      <c r="ED240" s="515"/>
      <c r="EE240" s="515"/>
      <c r="EF240" s="515"/>
      <c r="EG240" s="515"/>
      <c r="EH240" s="515"/>
      <c r="EI240" s="515"/>
      <c r="EJ240" s="515"/>
      <c r="EK240" s="515"/>
      <c r="EL240" s="515"/>
      <c r="EM240" s="515"/>
      <c r="EN240" s="515"/>
      <c r="EO240" s="515"/>
      <c r="EP240" s="515"/>
      <c r="EQ240" s="515"/>
      <c r="ER240" s="515"/>
      <c r="ES240" s="515"/>
      <c r="ET240" s="515"/>
      <c r="EU240" s="515"/>
      <c r="EV240" s="515"/>
      <c r="EW240" s="515"/>
      <c r="EX240" s="515"/>
      <c r="EY240" s="515"/>
      <c r="EZ240" s="515"/>
      <c r="FA240" s="515"/>
      <c r="FB240" s="515"/>
      <c r="FC240" s="515"/>
      <c r="FD240" s="515"/>
      <c r="FE240" s="515"/>
      <c r="FF240" s="515"/>
      <c r="FG240" s="515"/>
      <c r="FH240" s="515"/>
      <c r="FI240" s="515"/>
      <c r="FJ240" s="515"/>
      <c r="FK240" s="515"/>
      <c r="FL240" s="515"/>
      <c r="FM240" s="515"/>
      <c r="FN240" s="515"/>
      <c r="FO240" s="515"/>
      <c r="FP240" s="515"/>
      <c r="FQ240" s="515"/>
      <c r="FR240" s="515"/>
      <c r="FS240" s="515"/>
      <c r="FT240" s="515"/>
      <c r="FU240" s="515"/>
      <c r="FV240" s="515"/>
      <c r="FW240" s="515"/>
      <c r="FX240" s="515"/>
      <c r="FY240" s="515"/>
      <c r="FZ240" s="515"/>
      <c r="GA240" s="515"/>
      <c r="GB240" s="515"/>
      <c r="GC240" s="515"/>
      <c r="GD240" s="515"/>
      <c r="GE240" s="515"/>
      <c r="GF240" s="515"/>
      <c r="GG240" s="515"/>
      <c r="GH240" s="515"/>
      <c r="GI240" s="515"/>
      <c r="GJ240" s="515"/>
      <c r="GK240" s="515"/>
      <c r="GL240" s="515"/>
      <c r="GM240" s="515"/>
      <c r="GN240" s="515"/>
    </row>
    <row r="241" spans="1:196" ht="27.6" x14ac:dyDescent="0.25">
      <c r="A241" s="810" t="s">
        <v>1168</v>
      </c>
      <c r="B241" s="810" t="s">
        <v>554</v>
      </c>
      <c r="C241" s="923">
        <v>792600</v>
      </c>
      <c r="D241" s="923">
        <f>C241-G241</f>
        <v>32000</v>
      </c>
      <c r="E241" s="151" t="s">
        <v>30</v>
      </c>
      <c r="F241" s="145" t="s">
        <v>99</v>
      </c>
      <c r="G241" s="302">
        <v>760600</v>
      </c>
      <c r="H241" s="302">
        <v>1009440</v>
      </c>
      <c r="I241" s="302">
        <f t="shared" si="30"/>
        <v>248840</v>
      </c>
      <c r="J241" s="867">
        <f t="shared" si="27"/>
        <v>0.32716276623718116</v>
      </c>
      <c r="K241" s="437" t="s">
        <v>1648</v>
      </c>
      <c r="L241" s="224"/>
    </row>
    <row r="242" spans="1:196" ht="27" customHeight="1" x14ac:dyDescent="0.25">
      <c r="C242" s="923">
        <f>1360501-G247</f>
        <v>1289428</v>
      </c>
      <c r="D242" s="923">
        <f>C242-G242</f>
        <v>-25000</v>
      </c>
      <c r="E242" s="151" t="s">
        <v>1179</v>
      </c>
      <c r="F242" s="145" t="s">
        <v>200</v>
      </c>
      <c r="G242" s="302">
        <v>1314428</v>
      </c>
      <c r="H242" s="302">
        <v>1597136.3519472245</v>
      </c>
      <c r="I242" s="132">
        <f t="shared" si="30"/>
        <v>282708.35194722447</v>
      </c>
      <c r="J242" s="867">
        <f t="shared" si="27"/>
        <v>0.21508089598458377</v>
      </c>
      <c r="K242" s="221"/>
      <c r="L242" s="224"/>
    </row>
    <row r="243" spans="1:196" s="104" customFormat="1" ht="27" hidden="1" customHeight="1" outlineLevel="1" x14ac:dyDescent="0.25">
      <c r="A243" s="810" t="s">
        <v>745</v>
      </c>
      <c r="B243" s="810" t="s">
        <v>228</v>
      </c>
      <c r="C243" s="923"/>
      <c r="D243" s="923"/>
      <c r="E243" s="159"/>
      <c r="F243" s="215" t="s">
        <v>228</v>
      </c>
      <c r="G243" s="304">
        <v>1002503</v>
      </c>
      <c r="H243" s="304">
        <v>1206031.8679472245</v>
      </c>
      <c r="I243" s="122">
        <f t="shared" si="30"/>
        <v>203528.86794722453</v>
      </c>
      <c r="J243" s="865">
        <f>IFERROR(I243/G243,"-")</f>
        <v>0.20302070711730991</v>
      </c>
      <c r="K243" s="438" t="s">
        <v>1275</v>
      </c>
      <c r="L243" s="224"/>
      <c r="M243" s="107"/>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row>
    <row r="244" spans="1:196" s="104" customFormat="1" ht="87.6" hidden="1" customHeight="1" outlineLevel="1" x14ac:dyDescent="0.25">
      <c r="A244" s="810" t="s">
        <v>745</v>
      </c>
      <c r="B244" s="810" t="s">
        <v>554</v>
      </c>
      <c r="C244" s="923"/>
      <c r="D244" s="923"/>
      <c r="E244" s="214"/>
      <c r="F244" s="160" t="s">
        <v>198</v>
      </c>
      <c r="G244" s="304">
        <v>294182</v>
      </c>
      <c r="H244" s="304">
        <v>358808.44</v>
      </c>
      <c r="I244" s="122">
        <f t="shared" si="30"/>
        <v>64626.44</v>
      </c>
      <c r="J244" s="865">
        <f t="shared" si="27"/>
        <v>0.21968182961568009</v>
      </c>
      <c r="K244" s="455" t="s">
        <v>1649</v>
      </c>
      <c r="L244" s="224"/>
      <c r="M244" s="107"/>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row>
    <row r="245" spans="1:196" s="104" customFormat="1" ht="27.6" hidden="1" outlineLevel="1" x14ac:dyDescent="0.25">
      <c r="A245" s="810" t="s">
        <v>745</v>
      </c>
      <c r="B245" s="810" t="s">
        <v>556</v>
      </c>
      <c r="C245" s="923"/>
      <c r="D245" s="923"/>
      <c r="E245" s="159"/>
      <c r="F245" s="160" t="s">
        <v>197</v>
      </c>
      <c r="G245" s="304">
        <v>17743</v>
      </c>
      <c r="H245" s="304">
        <v>32296.044000000002</v>
      </c>
      <c r="I245" s="122">
        <f t="shared" si="30"/>
        <v>14553.044000000002</v>
      </c>
      <c r="J245" s="865">
        <f t="shared" si="27"/>
        <v>0.82021326720396781</v>
      </c>
      <c r="K245" s="455" t="s">
        <v>1276</v>
      </c>
      <c r="L245" s="224"/>
      <c r="M245" s="107"/>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row>
    <row r="246" spans="1:196" s="525" customFormat="1" ht="13.8" hidden="1" outlineLevel="1" x14ac:dyDescent="0.25">
      <c r="A246" s="1415" t="s">
        <v>746</v>
      </c>
      <c r="B246" s="1415" t="s">
        <v>182</v>
      </c>
      <c r="C246" s="1416">
        <v>244057</v>
      </c>
      <c r="D246" s="1416">
        <f>C246-G246</f>
        <v>0</v>
      </c>
      <c r="E246" s="523"/>
      <c r="F246" s="520" t="s">
        <v>167</v>
      </c>
      <c r="G246" s="301">
        <v>244057</v>
      </c>
      <c r="H246" s="505">
        <v>273760.68942400004</v>
      </c>
      <c r="I246" s="513">
        <f>H246-G246</f>
        <v>29703.68942400004</v>
      </c>
      <c r="J246" s="892">
        <f t="shared" si="27"/>
        <v>0.12170800027862361</v>
      </c>
      <c r="K246" s="1458"/>
      <c r="L246" s="1417"/>
      <c r="M246" s="1122"/>
      <c r="N246" s="515"/>
      <c r="O246" s="515"/>
      <c r="P246" s="515"/>
      <c r="Q246" s="515"/>
      <c r="R246" s="515"/>
      <c r="S246" s="515"/>
      <c r="T246" s="515"/>
      <c r="U246" s="515"/>
      <c r="V246" s="515"/>
      <c r="W246" s="515"/>
      <c r="X246" s="515"/>
      <c r="Y246" s="515"/>
      <c r="Z246" s="515"/>
      <c r="AA246" s="515"/>
      <c r="AB246" s="515"/>
      <c r="AC246" s="515"/>
      <c r="AD246" s="515"/>
      <c r="AE246" s="515"/>
      <c r="AF246" s="515"/>
      <c r="AG246" s="515"/>
      <c r="AH246" s="515"/>
      <c r="AI246" s="515"/>
      <c r="AJ246" s="515"/>
      <c r="AK246" s="515"/>
      <c r="AL246" s="515"/>
      <c r="AM246" s="515"/>
      <c r="AN246" s="515"/>
      <c r="AO246" s="515"/>
      <c r="AP246" s="515"/>
      <c r="AQ246" s="515"/>
      <c r="AR246" s="515"/>
      <c r="AS246" s="515"/>
      <c r="AT246" s="515"/>
      <c r="AU246" s="515"/>
      <c r="AV246" s="515"/>
      <c r="AW246" s="515"/>
      <c r="AX246" s="515"/>
      <c r="AY246" s="515"/>
      <c r="AZ246" s="515"/>
      <c r="BA246" s="515"/>
      <c r="BB246" s="515"/>
      <c r="BC246" s="515"/>
      <c r="BD246" s="515"/>
      <c r="BE246" s="515"/>
      <c r="BF246" s="515"/>
      <c r="BG246" s="515"/>
      <c r="BH246" s="515"/>
      <c r="BI246" s="515"/>
      <c r="BJ246" s="515"/>
      <c r="BK246" s="515"/>
      <c r="BL246" s="515"/>
      <c r="BM246" s="515"/>
      <c r="BN246" s="515"/>
      <c r="BO246" s="515"/>
      <c r="BP246" s="515"/>
      <c r="BQ246" s="515"/>
      <c r="BR246" s="515"/>
      <c r="BS246" s="515"/>
      <c r="BT246" s="515"/>
      <c r="BU246" s="515"/>
      <c r="BV246" s="515"/>
      <c r="BW246" s="515"/>
      <c r="BX246" s="515"/>
      <c r="BY246" s="515"/>
      <c r="BZ246" s="515"/>
      <c r="CA246" s="515"/>
      <c r="CB246" s="515"/>
      <c r="CC246" s="515"/>
      <c r="CD246" s="515"/>
      <c r="CE246" s="515"/>
      <c r="CF246" s="515"/>
      <c r="CG246" s="515"/>
      <c r="CH246" s="515"/>
      <c r="CI246" s="515"/>
      <c r="CJ246" s="515"/>
      <c r="CK246" s="515"/>
      <c r="CL246" s="515"/>
      <c r="CM246" s="515"/>
      <c r="CN246" s="515"/>
      <c r="CO246" s="515"/>
      <c r="CP246" s="515"/>
      <c r="CQ246" s="515"/>
      <c r="CR246" s="515"/>
      <c r="CS246" s="515"/>
      <c r="CT246" s="515"/>
      <c r="CU246" s="515"/>
      <c r="CV246" s="515"/>
      <c r="CW246" s="515"/>
      <c r="CX246" s="515"/>
      <c r="CY246" s="515"/>
      <c r="CZ246" s="515"/>
      <c r="DA246" s="515"/>
      <c r="DB246" s="515"/>
      <c r="DC246" s="515"/>
      <c r="DD246" s="515"/>
      <c r="DE246" s="515"/>
      <c r="DF246" s="515"/>
      <c r="DG246" s="515"/>
      <c r="DH246" s="515"/>
      <c r="DI246" s="515"/>
      <c r="DJ246" s="515"/>
      <c r="DK246" s="515"/>
      <c r="DL246" s="515"/>
      <c r="DM246" s="515"/>
      <c r="DN246" s="515"/>
      <c r="DO246" s="515"/>
      <c r="DP246" s="515"/>
      <c r="DQ246" s="515"/>
      <c r="DR246" s="515"/>
      <c r="DS246" s="515"/>
      <c r="DT246" s="515"/>
      <c r="DU246" s="515"/>
      <c r="DV246" s="515"/>
      <c r="DW246" s="515"/>
      <c r="DX246" s="515"/>
      <c r="DY246" s="515"/>
      <c r="DZ246" s="515"/>
      <c r="EA246" s="515"/>
      <c r="EB246" s="515"/>
      <c r="EC246" s="515"/>
      <c r="ED246" s="515"/>
      <c r="EE246" s="515"/>
      <c r="EF246" s="515"/>
      <c r="EG246" s="515"/>
      <c r="EH246" s="515"/>
      <c r="EI246" s="515"/>
      <c r="EJ246" s="515"/>
      <c r="EK246" s="515"/>
      <c r="EL246" s="515"/>
      <c r="EM246" s="515"/>
      <c r="EN246" s="515"/>
      <c r="EO246" s="515"/>
      <c r="EP246" s="515"/>
      <c r="EQ246" s="515"/>
      <c r="ER246" s="515"/>
      <c r="ES246" s="515"/>
      <c r="ET246" s="515"/>
      <c r="EU246" s="515"/>
      <c r="EV246" s="515"/>
      <c r="EW246" s="515"/>
      <c r="EX246" s="515"/>
      <c r="EY246" s="515"/>
      <c r="EZ246" s="515"/>
      <c r="FA246" s="515"/>
      <c r="FB246" s="515"/>
      <c r="FC246" s="515"/>
      <c r="FD246" s="515"/>
      <c r="FE246" s="515"/>
      <c r="FF246" s="515"/>
      <c r="FG246" s="515"/>
      <c r="FH246" s="515"/>
      <c r="FI246" s="515"/>
      <c r="FJ246" s="515"/>
      <c r="FK246" s="515"/>
      <c r="FL246" s="515"/>
      <c r="FM246" s="515"/>
      <c r="FN246" s="515"/>
      <c r="FO246" s="515"/>
      <c r="FP246" s="515"/>
      <c r="FQ246" s="515"/>
      <c r="FR246" s="515"/>
      <c r="FS246" s="515"/>
      <c r="FT246" s="515"/>
      <c r="FU246" s="515"/>
      <c r="FV246" s="515"/>
      <c r="FW246" s="515"/>
      <c r="FX246" s="515"/>
      <c r="FY246" s="515"/>
      <c r="FZ246" s="515"/>
      <c r="GA246" s="515"/>
      <c r="GB246" s="515"/>
      <c r="GC246" s="515"/>
      <c r="GD246" s="515"/>
      <c r="GE246" s="515"/>
      <c r="GF246" s="515"/>
      <c r="GG246" s="515"/>
      <c r="GH246" s="515"/>
      <c r="GI246" s="515"/>
      <c r="GJ246" s="515"/>
      <c r="GK246" s="515"/>
      <c r="GL246" s="515"/>
      <c r="GM246" s="515"/>
      <c r="GN246" s="515"/>
    </row>
    <row r="247" spans="1:196" s="525" customFormat="1" ht="13.8" hidden="1" outlineLevel="1" x14ac:dyDescent="0.25">
      <c r="A247" s="1415" t="s">
        <v>745</v>
      </c>
      <c r="B247" s="1415" t="s">
        <v>555</v>
      </c>
      <c r="C247" s="1416"/>
      <c r="D247" s="1416"/>
      <c r="E247" s="523"/>
      <c r="F247" s="520" t="s">
        <v>555</v>
      </c>
      <c r="G247" s="301">
        <v>71073</v>
      </c>
      <c r="H247" s="505">
        <v>143022</v>
      </c>
      <c r="I247" s="513">
        <f t="shared" si="30"/>
        <v>71949</v>
      </c>
      <c r="J247" s="892">
        <f t="shared" si="27"/>
        <v>1.0123253556202778</v>
      </c>
      <c r="K247" s="1458"/>
      <c r="L247" s="1417"/>
      <c r="M247" s="1122"/>
      <c r="N247" s="515"/>
      <c r="O247" s="515"/>
      <c r="P247" s="515"/>
      <c r="Q247" s="515"/>
      <c r="R247" s="515"/>
      <c r="S247" s="515"/>
      <c r="T247" s="515"/>
      <c r="U247" s="515"/>
      <c r="V247" s="515"/>
      <c r="W247" s="515"/>
      <c r="X247" s="515"/>
      <c r="Y247" s="515"/>
      <c r="Z247" s="515"/>
      <c r="AA247" s="515"/>
      <c r="AB247" s="515"/>
      <c r="AC247" s="515"/>
      <c r="AD247" s="515"/>
      <c r="AE247" s="515"/>
      <c r="AF247" s="515"/>
      <c r="AG247" s="515"/>
      <c r="AH247" s="515"/>
      <c r="AI247" s="515"/>
      <c r="AJ247" s="515"/>
      <c r="AK247" s="515"/>
      <c r="AL247" s="515"/>
      <c r="AM247" s="515"/>
      <c r="AN247" s="515"/>
      <c r="AO247" s="515"/>
      <c r="AP247" s="515"/>
      <c r="AQ247" s="515"/>
      <c r="AR247" s="515"/>
      <c r="AS247" s="515"/>
      <c r="AT247" s="515"/>
      <c r="AU247" s="515"/>
      <c r="AV247" s="515"/>
      <c r="AW247" s="515"/>
      <c r="AX247" s="515"/>
      <c r="AY247" s="515"/>
      <c r="AZ247" s="515"/>
      <c r="BA247" s="515"/>
      <c r="BB247" s="515"/>
      <c r="BC247" s="515"/>
      <c r="BD247" s="515"/>
      <c r="BE247" s="515"/>
      <c r="BF247" s="515"/>
      <c r="BG247" s="515"/>
      <c r="BH247" s="515"/>
      <c r="BI247" s="515"/>
      <c r="BJ247" s="515"/>
      <c r="BK247" s="515"/>
      <c r="BL247" s="515"/>
      <c r="BM247" s="515"/>
      <c r="BN247" s="515"/>
      <c r="BO247" s="515"/>
      <c r="BP247" s="515"/>
      <c r="BQ247" s="515"/>
      <c r="BR247" s="515"/>
      <c r="BS247" s="515"/>
      <c r="BT247" s="515"/>
      <c r="BU247" s="515"/>
      <c r="BV247" s="515"/>
      <c r="BW247" s="515"/>
      <c r="BX247" s="515"/>
      <c r="BY247" s="515"/>
      <c r="BZ247" s="515"/>
      <c r="CA247" s="515"/>
      <c r="CB247" s="515"/>
      <c r="CC247" s="515"/>
      <c r="CD247" s="515"/>
      <c r="CE247" s="515"/>
      <c r="CF247" s="515"/>
      <c r="CG247" s="515"/>
      <c r="CH247" s="515"/>
      <c r="CI247" s="515"/>
      <c r="CJ247" s="515"/>
      <c r="CK247" s="515"/>
      <c r="CL247" s="515"/>
      <c r="CM247" s="515"/>
      <c r="CN247" s="515"/>
      <c r="CO247" s="515"/>
      <c r="CP247" s="515"/>
      <c r="CQ247" s="515"/>
      <c r="CR247" s="515"/>
      <c r="CS247" s="515"/>
      <c r="CT247" s="515"/>
      <c r="CU247" s="515"/>
      <c r="CV247" s="515"/>
      <c r="CW247" s="515"/>
      <c r="CX247" s="515"/>
      <c r="CY247" s="515"/>
      <c r="CZ247" s="515"/>
      <c r="DA247" s="515"/>
      <c r="DB247" s="515"/>
      <c r="DC247" s="515"/>
      <c r="DD247" s="515"/>
      <c r="DE247" s="515"/>
      <c r="DF247" s="515"/>
      <c r="DG247" s="515"/>
      <c r="DH247" s="515"/>
      <c r="DI247" s="515"/>
      <c r="DJ247" s="515"/>
      <c r="DK247" s="515"/>
      <c r="DL247" s="515"/>
      <c r="DM247" s="515"/>
      <c r="DN247" s="515"/>
      <c r="DO247" s="515"/>
      <c r="DP247" s="515"/>
      <c r="DQ247" s="515"/>
      <c r="DR247" s="515"/>
      <c r="DS247" s="515"/>
      <c r="DT247" s="515"/>
      <c r="DU247" s="515"/>
      <c r="DV247" s="515"/>
      <c r="DW247" s="515"/>
      <c r="DX247" s="515"/>
      <c r="DY247" s="515"/>
      <c r="DZ247" s="515"/>
      <c r="EA247" s="515"/>
      <c r="EB247" s="515"/>
      <c r="EC247" s="515"/>
      <c r="ED247" s="515"/>
      <c r="EE247" s="515"/>
      <c r="EF247" s="515"/>
      <c r="EG247" s="515"/>
      <c r="EH247" s="515"/>
      <c r="EI247" s="515"/>
      <c r="EJ247" s="515"/>
      <c r="EK247" s="515"/>
      <c r="EL247" s="515"/>
      <c r="EM247" s="515"/>
      <c r="EN247" s="515"/>
      <c r="EO247" s="515"/>
      <c r="EP247" s="515"/>
      <c r="EQ247" s="515"/>
      <c r="ER247" s="515"/>
      <c r="ES247" s="515"/>
      <c r="ET247" s="515"/>
      <c r="EU247" s="515"/>
      <c r="EV247" s="515"/>
      <c r="EW247" s="515"/>
      <c r="EX247" s="515"/>
      <c r="EY247" s="515"/>
      <c r="EZ247" s="515"/>
      <c r="FA247" s="515"/>
      <c r="FB247" s="515"/>
      <c r="FC247" s="515"/>
      <c r="FD247" s="515"/>
      <c r="FE247" s="515"/>
      <c r="FF247" s="515"/>
      <c r="FG247" s="515"/>
      <c r="FH247" s="515"/>
      <c r="FI247" s="515"/>
      <c r="FJ247" s="515"/>
      <c r="FK247" s="515"/>
      <c r="FL247" s="515"/>
      <c r="FM247" s="515"/>
      <c r="FN247" s="515"/>
      <c r="FO247" s="515"/>
      <c r="FP247" s="515"/>
      <c r="FQ247" s="515"/>
      <c r="FR247" s="515"/>
      <c r="FS247" s="515"/>
      <c r="FT247" s="515"/>
      <c r="FU247" s="515"/>
      <c r="FV247" s="515"/>
      <c r="FW247" s="515"/>
      <c r="FX247" s="515"/>
      <c r="FY247" s="515"/>
      <c r="FZ247" s="515"/>
      <c r="GA247" s="515"/>
      <c r="GB247" s="515"/>
      <c r="GC247" s="515"/>
      <c r="GD247" s="515"/>
      <c r="GE247" s="515"/>
      <c r="GF247" s="515"/>
      <c r="GG247" s="515"/>
      <c r="GH247" s="515"/>
      <c r="GI247" s="515"/>
      <c r="GJ247" s="515"/>
      <c r="GK247" s="515"/>
      <c r="GL247" s="515"/>
      <c r="GM247" s="515"/>
      <c r="GN247" s="515"/>
    </row>
    <row r="248" spans="1:196" s="216" customFormat="1" ht="14.4" hidden="1" outlineLevel="1" x14ac:dyDescent="0.3">
      <c r="A248" s="810" t="s">
        <v>737</v>
      </c>
      <c r="B248" s="810" t="s">
        <v>192</v>
      </c>
      <c r="C248" s="923">
        <v>1557</v>
      </c>
      <c r="D248" s="923">
        <f>C248-G248</f>
        <v>0</v>
      </c>
      <c r="E248" s="277"/>
      <c r="F248" s="306" t="s">
        <v>229</v>
      </c>
      <c r="G248" s="302">
        <v>1557</v>
      </c>
      <c r="H248" s="927">
        <v>0</v>
      </c>
      <c r="I248" s="322">
        <f t="shared" si="30"/>
        <v>-1557</v>
      </c>
      <c r="J248" s="893">
        <f t="shared" si="27"/>
        <v>-1</v>
      </c>
      <c r="K248" s="217"/>
      <c r="L248" s="224"/>
      <c r="M248" s="1120"/>
      <c r="N248" s="223"/>
      <c r="O248" s="223"/>
      <c r="P248" s="223"/>
      <c r="Q248" s="223"/>
      <c r="R248" s="223"/>
      <c r="S248" s="223"/>
      <c r="T248" s="223"/>
      <c r="U248" s="223"/>
      <c r="V248" s="223"/>
      <c r="W248" s="223"/>
      <c r="X248" s="223"/>
      <c r="Y248" s="223"/>
      <c r="Z248" s="223"/>
      <c r="AA248" s="223"/>
      <c r="AB248" s="223"/>
      <c r="AC248" s="223"/>
      <c r="AD248" s="223"/>
      <c r="AE248" s="223"/>
      <c r="AF248" s="223"/>
      <c r="AG248" s="223"/>
      <c r="AH248" s="223"/>
      <c r="AI248" s="223"/>
      <c r="AJ248" s="223"/>
      <c r="AK248" s="223"/>
      <c r="AL248" s="223"/>
      <c r="AM248" s="223"/>
      <c r="AN248" s="223"/>
      <c r="AO248" s="223"/>
      <c r="AP248" s="223"/>
      <c r="AQ248" s="223"/>
      <c r="AR248" s="223"/>
      <c r="AS248" s="223"/>
      <c r="AT248" s="223"/>
      <c r="AU248" s="223"/>
      <c r="AV248" s="223"/>
      <c r="AW248" s="223"/>
      <c r="AX248" s="223"/>
      <c r="AY248" s="223"/>
      <c r="AZ248" s="223"/>
      <c r="BA248" s="223"/>
      <c r="BB248" s="223"/>
      <c r="BC248" s="223"/>
      <c r="BD248" s="223"/>
      <c r="BE248" s="223"/>
      <c r="BF248" s="223"/>
      <c r="BG248" s="223"/>
      <c r="BH248" s="223"/>
      <c r="BI248" s="223"/>
      <c r="BJ248" s="223"/>
      <c r="BK248" s="223"/>
      <c r="BL248" s="223"/>
      <c r="BM248" s="223"/>
      <c r="BN248" s="223"/>
      <c r="BO248" s="223"/>
      <c r="BP248" s="223"/>
      <c r="BQ248" s="223"/>
      <c r="BR248" s="223"/>
      <c r="BS248" s="223"/>
      <c r="BT248" s="223"/>
      <c r="BU248" s="223"/>
      <c r="BV248" s="223"/>
      <c r="BW248" s="223"/>
      <c r="BX248" s="223"/>
      <c r="BY248" s="223"/>
      <c r="BZ248" s="223"/>
      <c r="CA248" s="223"/>
      <c r="CB248" s="223"/>
      <c r="CC248" s="223"/>
      <c r="CD248" s="223"/>
      <c r="CE248" s="223"/>
      <c r="CF248" s="223"/>
      <c r="CG248" s="223"/>
      <c r="CH248" s="223"/>
      <c r="CI248" s="223"/>
      <c r="CJ248" s="223"/>
      <c r="CK248" s="223"/>
      <c r="CL248" s="223"/>
      <c r="CM248" s="223"/>
      <c r="CN248" s="223"/>
      <c r="CO248" s="223"/>
      <c r="CP248" s="223"/>
      <c r="CQ248" s="223"/>
      <c r="CR248" s="223"/>
      <c r="CS248" s="223"/>
      <c r="CT248" s="223"/>
      <c r="CU248" s="223"/>
      <c r="CV248" s="223"/>
      <c r="CW248" s="223"/>
      <c r="CX248" s="223"/>
      <c r="CY248" s="223"/>
      <c r="CZ248" s="223"/>
      <c r="DA248" s="223"/>
      <c r="DB248" s="223"/>
      <c r="DC248" s="223"/>
      <c r="DD248" s="223"/>
      <c r="DE248" s="223"/>
      <c r="DF248" s="223"/>
      <c r="DG248" s="223"/>
      <c r="DH248" s="223"/>
      <c r="DI248" s="223"/>
      <c r="DJ248" s="223"/>
      <c r="DK248" s="223"/>
      <c r="DL248" s="223"/>
      <c r="DM248" s="223"/>
      <c r="DN248" s="223"/>
      <c r="DO248" s="223"/>
      <c r="DP248" s="223"/>
      <c r="DQ248" s="223"/>
      <c r="DR248" s="223"/>
      <c r="DS248" s="223"/>
      <c r="DT248" s="223"/>
      <c r="DU248" s="223"/>
      <c r="DV248" s="223"/>
      <c r="DW248" s="223"/>
      <c r="DX248" s="223"/>
      <c r="DY248" s="223"/>
      <c r="DZ248" s="223"/>
      <c r="EA248" s="223"/>
      <c r="EB248" s="223"/>
      <c r="EC248" s="223"/>
      <c r="ED248" s="223"/>
      <c r="EE248" s="223"/>
      <c r="EF248" s="223"/>
      <c r="EG248" s="223"/>
      <c r="EH248" s="223"/>
      <c r="EI248" s="223"/>
      <c r="EJ248" s="223"/>
      <c r="EK248" s="223"/>
      <c r="EL248" s="223"/>
      <c r="EM248" s="223"/>
      <c r="EN248" s="223"/>
      <c r="EO248" s="223"/>
      <c r="EP248" s="223"/>
      <c r="EQ248" s="223"/>
      <c r="ER248" s="223"/>
      <c r="ES248" s="223"/>
      <c r="ET248" s="223"/>
      <c r="EU248" s="223"/>
      <c r="EV248" s="223"/>
      <c r="EW248" s="223"/>
      <c r="EX248" s="223"/>
      <c r="EY248" s="223"/>
      <c r="EZ248" s="223"/>
      <c r="FA248" s="223"/>
      <c r="FB248" s="223"/>
      <c r="FC248" s="223"/>
      <c r="FD248" s="223"/>
      <c r="FE248" s="223"/>
      <c r="FF248" s="223"/>
      <c r="FG248" s="223"/>
      <c r="FH248" s="223"/>
      <c r="FI248" s="223"/>
      <c r="FJ248" s="223"/>
      <c r="FK248" s="223"/>
      <c r="FL248" s="223"/>
      <c r="FM248" s="223"/>
      <c r="FN248" s="223"/>
      <c r="FO248" s="223"/>
      <c r="FP248" s="223"/>
      <c r="FQ248" s="223"/>
      <c r="FR248" s="223"/>
      <c r="FS248" s="223"/>
      <c r="FT248" s="223"/>
      <c r="FU248" s="223"/>
      <c r="FV248" s="223"/>
      <c r="FW248" s="223"/>
      <c r="FX248" s="223"/>
      <c r="FY248" s="223"/>
      <c r="FZ248" s="223"/>
      <c r="GA248" s="223"/>
      <c r="GB248" s="223"/>
      <c r="GC248" s="223"/>
      <c r="GD248" s="223"/>
      <c r="GE248" s="223"/>
      <c r="GF248" s="223"/>
      <c r="GG248" s="223"/>
      <c r="GH248" s="223"/>
      <c r="GI248" s="223"/>
      <c r="GJ248" s="223"/>
      <c r="GK248" s="223"/>
      <c r="GL248" s="223"/>
      <c r="GM248" s="223"/>
      <c r="GN248" s="223"/>
    </row>
    <row r="249" spans="1:196" ht="13.8" collapsed="1" x14ac:dyDescent="0.25">
      <c r="E249" s="151" t="s">
        <v>1180</v>
      </c>
      <c r="F249" s="145" t="s">
        <v>223</v>
      </c>
      <c r="G249" s="302">
        <v>19228.173900000002</v>
      </c>
      <c r="H249" s="302">
        <v>19228.173900000002</v>
      </c>
      <c r="I249" s="132">
        <f>H249-G249</f>
        <v>0</v>
      </c>
      <c r="J249" s="867">
        <f t="shared" si="27"/>
        <v>0</v>
      </c>
      <c r="K249" s="217"/>
      <c r="L249" s="224"/>
    </row>
    <row r="250" spans="1:196" s="104" customFormat="1" ht="13.8" hidden="1" outlineLevel="1" x14ac:dyDescent="0.25">
      <c r="A250" s="810" t="s">
        <v>747</v>
      </c>
      <c r="B250" s="810" t="s">
        <v>554</v>
      </c>
      <c r="C250" s="923"/>
      <c r="D250" s="923"/>
      <c r="E250" s="159"/>
      <c r="F250" s="160" t="s">
        <v>198</v>
      </c>
      <c r="G250" s="304">
        <v>18748.173900000002</v>
      </c>
      <c r="H250" s="304">
        <v>18748.173900000002</v>
      </c>
      <c r="I250" s="153">
        <f>H250-G250</f>
        <v>0</v>
      </c>
      <c r="J250" s="878">
        <f t="shared" si="27"/>
        <v>0</v>
      </c>
      <c r="K250" s="218"/>
      <c r="L250" s="224"/>
      <c r="M250" s="107"/>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row>
    <row r="251" spans="1:196" s="104" customFormat="1" ht="13.8" hidden="1" outlineLevel="1" x14ac:dyDescent="0.25">
      <c r="A251" s="810" t="s">
        <v>747</v>
      </c>
      <c r="B251" s="810" t="s">
        <v>556</v>
      </c>
      <c r="C251" s="923"/>
      <c r="D251" s="923"/>
      <c r="E251" s="159"/>
      <c r="F251" s="160" t="s">
        <v>197</v>
      </c>
      <c r="G251" s="304">
        <v>480</v>
      </c>
      <c r="H251" s="304">
        <v>480</v>
      </c>
      <c r="I251" s="153">
        <f>H251-G251</f>
        <v>0</v>
      </c>
      <c r="J251" s="878">
        <f t="shared" si="27"/>
        <v>0</v>
      </c>
      <c r="K251" s="218"/>
      <c r="L251" s="224"/>
      <c r="M251" s="107"/>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row>
    <row r="252" spans="1:196" s="216" customFormat="1" ht="13.8" hidden="1" outlineLevel="1" x14ac:dyDescent="0.25">
      <c r="A252" s="810" t="s">
        <v>747</v>
      </c>
      <c r="B252" s="810" t="s">
        <v>555</v>
      </c>
      <c r="C252" s="923"/>
      <c r="D252" s="923"/>
      <c r="E252" s="162"/>
      <c r="F252" s="163" t="s">
        <v>555</v>
      </c>
      <c r="G252" s="304">
        <v>0</v>
      </c>
      <c r="H252" s="304">
        <v>0</v>
      </c>
      <c r="I252" s="299">
        <f>H252-G252</f>
        <v>0</v>
      </c>
      <c r="J252" s="879" t="str">
        <f t="shared" si="27"/>
        <v>-</v>
      </c>
      <c r="K252" s="218"/>
      <c r="L252" s="224"/>
      <c r="M252" s="1120"/>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223"/>
      <c r="AL252" s="223"/>
      <c r="AM252" s="223"/>
      <c r="AN252" s="223"/>
      <c r="AO252" s="223"/>
      <c r="AP252" s="223"/>
      <c r="AQ252" s="223"/>
      <c r="AR252" s="223"/>
      <c r="AS252" s="223"/>
      <c r="AT252" s="223"/>
      <c r="AU252" s="223"/>
      <c r="AV252" s="223"/>
      <c r="AW252" s="223"/>
      <c r="AX252" s="223"/>
      <c r="AY252" s="223"/>
      <c r="AZ252" s="223"/>
      <c r="BA252" s="223"/>
      <c r="BB252" s="223"/>
      <c r="BC252" s="223"/>
      <c r="BD252" s="223"/>
      <c r="BE252" s="223"/>
      <c r="BF252" s="223"/>
      <c r="BG252" s="223"/>
      <c r="BH252" s="223"/>
      <c r="BI252" s="223"/>
      <c r="BJ252" s="223"/>
      <c r="BK252" s="223"/>
      <c r="BL252" s="223"/>
      <c r="BM252" s="223"/>
      <c r="BN252" s="223"/>
      <c r="BO252" s="223"/>
      <c r="BP252" s="223"/>
      <c r="BQ252" s="223"/>
      <c r="BR252" s="223"/>
      <c r="BS252" s="223"/>
      <c r="BT252" s="223"/>
      <c r="BU252" s="223"/>
      <c r="BV252" s="223"/>
      <c r="BW252" s="223"/>
      <c r="BX252" s="223"/>
      <c r="BY252" s="223"/>
      <c r="BZ252" s="223"/>
      <c r="CA252" s="223"/>
      <c r="CB252" s="223"/>
      <c r="CC252" s="223"/>
      <c r="CD252" s="223"/>
      <c r="CE252" s="223"/>
      <c r="CF252" s="223"/>
      <c r="CG252" s="223"/>
      <c r="CH252" s="223"/>
      <c r="CI252" s="223"/>
      <c r="CJ252" s="223"/>
      <c r="CK252" s="223"/>
      <c r="CL252" s="223"/>
      <c r="CM252" s="223"/>
      <c r="CN252" s="223"/>
      <c r="CO252" s="223"/>
      <c r="CP252" s="223"/>
      <c r="CQ252" s="223"/>
      <c r="CR252" s="223"/>
      <c r="CS252" s="223"/>
      <c r="CT252" s="223"/>
      <c r="CU252" s="223"/>
      <c r="CV252" s="223"/>
      <c r="CW252" s="223"/>
      <c r="CX252" s="223"/>
      <c r="CY252" s="223"/>
      <c r="CZ252" s="223"/>
      <c r="DA252" s="223"/>
      <c r="DB252" s="223"/>
      <c r="DC252" s="223"/>
      <c r="DD252" s="223"/>
      <c r="DE252" s="223"/>
      <c r="DF252" s="223"/>
      <c r="DG252" s="223"/>
      <c r="DH252" s="223"/>
      <c r="DI252" s="223"/>
      <c r="DJ252" s="223"/>
      <c r="DK252" s="223"/>
      <c r="DL252" s="223"/>
      <c r="DM252" s="223"/>
      <c r="DN252" s="223"/>
      <c r="DO252" s="223"/>
      <c r="DP252" s="223"/>
      <c r="DQ252" s="223"/>
      <c r="DR252" s="223"/>
      <c r="DS252" s="223"/>
      <c r="DT252" s="223"/>
      <c r="DU252" s="223"/>
      <c r="DV252" s="223"/>
      <c r="DW252" s="223"/>
      <c r="DX252" s="223"/>
      <c r="DY252" s="223"/>
      <c r="DZ252" s="223"/>
      <c r="EA252" s="223"/>
      <c r="EB252" s="223"/>
      <c r="EC252" s="223"/>
      <c r="ED252" s="223"/>
      <c r="EE252" s="223"/>
      <c r="EF252" s="223"/>
      <c r="EG252" s="223"/>
      <c r="EH252" s="223"/>
      <c r="EI252" s="223"/>
      <c r="EJ252" s="223"/>
      <c r="EK252" s="223"/>
      <c r="EL252" s="223"/>
      <c r="EM252" s="223"/>
      <c r="EN252" s="223"/>
      <c r="EO252" s="223"/>
      <c r="EP252" s="223"/>
      <c r="EQ252" s="223"/>
      <c r="ER252" s="223"/>
      <c r="ES252" s="223"/>
      <c r="ET252" s="223"/>
      <c r="EU252" s="223"/>
      <c r="EV252" s="223"/>
      <c r="EW252" s="223"/>
      <c r="EX252" s="223"/>
      <c r="EY252" s="223"/>
      <c r="EZ252" s="223"/>
      <c r="FA252" s="223"/>
      <c r="FB252" s="223"/>
      <c r="FC252" s="223"/>
      <c r="FD252" s="223"/>
      <c r="FE252" s="223"/>
      <c r="FF252" s="223"/>
      <c r="FG252" s="223"/>
      <c r="FH252" s="223"/>
      <c r="FI252" s="223"/>
      <c r="FJ252" s="223"/>
      <c r="FK252" s="223"/>
      <c r="FL252" s="223"/>
      <c r="FM252" s="223"/>
      <c r="FN252" s="223"/>
      <c r="FO252" s="223"/>
      <c r="FP252" s="223"/>
      <c r="FQ252" s="223"/>
      <c r="FR252" s="223"/>
      <c r="FS252" s="223"/>
      <c r="FT252" s="223"/>
      <c r="FU252" s="223"/>
      <c r="FV252" s="223"/>
      <c r="FW252" s="223"/>
      <c r="FX252" s="223"/>
      <c r="FY252" s="223"/>
      <c r="FZ252" s="223"/>
      <c r="GA252" s="223"/>
      <c r="GB252" s="223"/>
      <c r="GC252" s="223"/>
      <c r="GD252" s="223"/>
      <c r="GE252" s="223"/>
      <c r="GF252" s="223"/>
      <c r="GG252" s="223"/>
      <c r="GH252" s="223"/>
      <c r="GI252" s="223"/>
      <c r="GJ252" s="223"/>
      <c r="GK252" s="223"/>
      <c r="GL252" s="223"/>
      <c r="GM252" s="223"/>
      <c r="GN252" s="223"/>
    </row>
    <row r="253" spans="1:196" ht="13.8" collapsed="1" x14ac:dyDescent="0.25">
      <c r="C253" s="923">
        <v>959583</v>
      </c>
      <c r="D253" s="923">
        <f>A253</f>
        <v>0</v>
      </c>
      <c r="E253" s="151" t="s">
        <v>96</v>
      </c>
      <c r="F253" s="145" t="s">
        <v>202</v>
      </c>
      <c r="G253" s="302">
        <v>959583</v>
      </c>
      <c r="H253" s="302">
        <v>1139990.1394368</v>
      </c>
      <c r="I253" s="132">
        <f t="shared" si="30"/>
        <v>180407.13943680003</v>
      </c>
      <c r="J253" s="867">
        <f t="shared" si="27"/>
        <v>0.18800576858572945</v>
      </c>
      <c r="K253" s="221"/>
      <c r="L253" s="224"/>
    </row>
    <row r="254" spans="1:196" s="104" customFormat="1" ht="13.8" hidden="1" outlineLevel="1" x14ac:dyDescent="0.25">
      <c r="A254" s="810" t="s">
        <v>756</v>
      </c>
      <c r="B254" s="810" t="s">
        <v>228</v>
      </c>
      <c r="C254" s="923"/>
      <c r="D254" s="923"/>
      <c r="E254" s="159"/>
      <c r="F254" s="215" t="s">
        <v>228</v>
      </c>
      <c r="G254" s="304">
        <v>720005</v>
      </c>
      <c r="H254" s="304">
        <v>858807.33403679996</v>
      </c>
      <c r="I254" s="153">
        <f t="shared" si="30"/>
        <v>138802.33403679996</v>
      </c>
      <c r="J254" s="878">
        <f t="shared" si="27"/>
        <v>0.19277968074777252</v>
      </c>
      <c r="K254" s="438" t="s">
        <v>1275</v>
      </c>
      <c r="L254" s="224"/>
      <c r="M254" s="107"/>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row>
    <row r="255" spans="1:196" s="104" customFormat="1" ht="41.4" hidden="1" outlineLevel="1" x14ac:dyDescent="0.25">
      <c r="A255" s="810" t="s">
        <v>756</v>
      </c>
      <c r="B255" s="810" t="s">
        <v>554</v>
      </c>
      <c r="C255" s="923"/>
      <c r="D255" s="923"/>
      <c r="E255" s="214"/>
      <c r="F255" s="160" t="s">
        <v>198</v>
      </c>
      <c r="G255" s="304">
        <v>227993</v>
      </c>
      <c r="H255" s="304">
        <v>273748.80540000001</v>
      </c>
      <c r="I255" s="153">
        <f t="shared" si="30"/>
        <v>45755.805400000012</v>
      </c>
      <c r="J255" s="878">
        <f t="shared" si="27"/>
        <v>0.20068951853784989</v>
      </c>
      <c r="K255" s="455" t="s">
        <v>1650</v>
      </c>
      <c r="L255" s="224"/>
      <c r="M255" s="107"/>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row>
    <row r="256" spans="1:196" s="104" customFormat="1" ht="13.8" hidden="1" outlineLevel="1" x14ac:dyDescent="0.25">
      <c r="A256" s="810" t="s">
        <v>756</v>
      </c>
      <c r="B256" s="810" t="s">
        <v>556</v>
      </c>
      <c r="C256" s="923"/>
      <c r="D256" s="923"/>
      <c r="E256" s="159"/>
      <c r="F256" s="160" t="s">
        <v>197</v>
      </c>
      <c r="G256" s="304">
        <v>11585</v>
      </c>
      <c r="H256" s="304">
        <v>7434</v>
      </c>
      <c r="I256" s="153">
        <f t="shared" si="30"/>
        <v>-4151</v>
      </c>
      <c r="J256" s="878">
        <f t="shared" si="27"/>
        <v>-0.35830815709969788</v>
      </c>
      <c r="K256" s="218"/>
      <c r="L256" s="224"/>
      <c r="M256" s="107"/>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row>
    <row r="257" spans="1:196" s="525" customFormat="1" ht="13.8" hidden="1" outlineLevel="1" x14ac:dyDescent="0.25">
      <c r="A257" s="1415" t="s">
        <v>755</v>
      </c>
      <c r="B257" s="1415" t="s">
        <v>182</v>
      </c>
      <c r="C257" s="1416">
        <v>112516</v>
      </c>
      <c r="D257" s="1416">
        <f>C257-G257</f>
        <v>0</v>
      </c>
      <c r="E257" s="523"/>
      <c r="F257" s="520" t="s">
        <v>167</v>
      </c>
      <c r="G257" s="301">
        <v>112516</v>
      </c>
      <c r="H257" s="505">
        <v>113943.23944</v>
      </c>
      <c r="I257" s="510">
        <f t="shared" si="30"/>
        <v>1427.2394400000048</v>
      </c>
      <c r="J257" s="876">
        <f t="shared" si="27"/>
        <v>1.2684768744000896E-2</v>
      </c>
      <c r="K257" s="1458"/>
      <c r="L257" s="1417"/>
      <c r="M257" s="1122"/>
      <c r="N257" s="515"/>
      <c r="O257" s="515"/>
      <c r="P257" s="515"/>
      <c r="Q257" s="515"/>
      <c r="R257" s="515"/>
      <c r="S257" s="515"/>
      <c r="T257" s="515"/>
      <c r="U257" s="515"/>
      <c r="V257" s="515"/>
      <c r="W257" s="515"/>
      <c r="X257" s="515"/>
      <c r="Y257" s="515"/>
      <c r="Z257" s="515"/>
      <c r="AA257" s="515"/>
      <c r="AB257" s="515"/>
      <c r="AC257" s="515"/>
      <c r="AD257" s="515"/>
      <c r="AE257" s="515"/>
      <c r="AF257" s="515"/>
      <c r="AG257" s="515"/>
      <c r="AH257" s="515"/>
      <c r="AI257" s="515"/>
      <c r="AJ257" s="515"/>
      <c r="AK257" s="515"/>
      <c r="AL257" s="515"/>
      <c r="AM257" s="515"/>
      <c r="AN257" s="515"/>
      <c r="AO257" s="515"/>
      <c r="AP257" s="515"/>
      <c r="AQ257" s="515"/>
      <c r="AR257" s="515"/>
      <c r="AS257" s="515"/>
      <c r="AT257" s="515"/>
      <c r="AU257" s="515"/>
      <c r="AV257" s="515"/>
      <c r="AW257" s="515"/>
      <c r="AX257" s="515"/>
      <c r="AY257" s="515"/>
      <c r="AZ257" s="515"/>
      <c r="BA257" s="515"/>
      <c r="BB257" s="515"/>
      <c r="BC257" s="515"/>
      <c r="BD257" s="515"/>
      <c r="BE257" s="515"/>
      <c r="BF257" s="515"/>
      <c r="BG257" s="515"/>
      <c r="BH257" s="515"/>
      <c r="BI257" s="515"/>
      <c r="BJ257" s="515"/>
      <c r="BK257" s="515"/>
      <c r="BL257" s="515"/>
      <c r="BM257" s="515"/>
      <c r="BN257" s="515"/>
      <c r="BO257" s="515"/>
      <c r="BP257" s="515"/>
      <c r="BQ257" s="515"/>
      <c r="BR257" s="515"/>
      <c r="BS257" s="515"/>
      <c r="BT257" s="515"/>
      <c r="BU257" s="515"/>
      <c r="BV257" s="515"/>
      <c r="BW257" s="515"/>
      <c r="BX257" s="515"/>
      <c r="BY257" s="515"/>
      <c r="BZ257" s="515"/>
      <c r="CA257" s="515"/>
      <c r="CB257" s="515"/>
      <c r="CC257" s="515"/>
      <c r="CD257" s="515"/>
      <c r="CE257" s="515"/>
      <c r="CF257" s="515"/>
      <c r="CG257" s="515"/>
      <c r="CH257" s="515"/>
      <c r="CI257" s="515"/>
      <c r="CJ257" s="515"/>
      <c r="CK257" s="515"/>
      <c r="CL257" s="515"/>
      <c r="CM257" s="515"/>
      <c r="CN257" s="515"/>
      <c r="CO257" s="515"/>
      <c r="CP257" s="515"/>
      <c r="CQ257" s="515"/>
      <c r="CR257" s="515"/>
      <c r="CS257" s="515"/>
      <c r="CT257" s="515"/>
      <c r="CU257" s="515"/>
      <c r="CV257" s="515"/>
      <c r="CW257" s="515"/>
      <c r="CX257" s="515"/>
      <c r="CY257" s="515"/>
      <c r="CZ257" s="515"/>
      <c r="DA257" s="515"/>
      <c r="DB257" s="515"/>
      <c r="DC257" s="515"/>
      <c r="DD257" s="515"/>
      <c r="DE257" s="515"/>
      <c r="DF257" s="515"/>
      <c r="DG257" s="515"/>
      <c r="DH257" s="515"/>
      <c r="DI257" s="515"/>
      <c r="DJ257" s="515"/>
      <c r="DK257" s="515"/>
      <c r="DL257" s="515"/>
      <c r="DM257" s="515"/>
      <c r="DN257" s="515"/>
      <c r="DO257" s="515"/>
      <c r="DP257" s="515"/>
      <c r="DQ257" s="515"/>
      <c r="DR257" s="515"/>
      <c r="DS257" s="515"/>
      <c r="DT257" s="515"/>
      <c r="DU257" s="515"/>
      <c r="DV257" s="515"/>
      <c r="DW257" s="515"/>
      <c r="DX257" s="515"/>
      <c r="DY257" s="515"/>
      <c r="DZ257" s="515"/>
      <c r="EA257" s="515"/>
      <c r="EB257" s="515"/>
      <c r="EC257" s="515"/>
      <c r="ED257" s="515"/>
      <c r="EE257" s="515"/>
      <c r="EF257" s="515"/>
      <c r="EG257" s="515"/>
      <c r="EH257" s="515"/>
      <c r="EI257" s="515"/>
      <c r="EJ257" s="515"/>
      <c r="EK257" s="515"/>
      <c r="EL257" s="515"/>
      <c r="EM257" s="515"/>
      <c r="EN257" s="515"/>
      <c r="EO257" s="515"/>
      <c r="EP257" s="515"/>
      <c r="EQ257" s="515"/>
      <c r="ER257" s="515"/>
      <c r="ES257" s="515"/>
      <c r="ET257" s="515"/>
      <c r="EU257" s="515"/>
      <c r="EV257" s="515"/>
      <c r="EW257" s="515"/>
      <c r="EX257" s="515"/>
      <c r="EY257" s="515"/>
      <c r="EZ257" s="515"/>
      <c r="FA257" s="515"/>
      <c r="FB257" s="515"/>
      <c r="FC257" s="515"/>
      <c r="FD257" s="515"/>
      <c r="FE257" s="515"/>
      <c r="FF257" s="515"/>
      <c r="FG257" s="515"/>
      <c r="FH257" s="515"/>
      <c r="FI257" s="515"/>
      <c r="FJ257" s="515"/>
      <c r="FK257" s="515"/>
      <c r="FL257" s="515"/>
      <c r="FM257" s="515"/>
      <c r="FN257" s="515"/>
      <c r="FO257" s="515"/>
      <c r="FP257" s="515"/>
      <c r="FQ257" s="515"/>
      <c r="FR257" s="515"/>
      <c r="FS257" s="515"/>
      <c r="FT257" s="515"/>
      <c r="FU257" s="515"/>
      <c r="FV257" s="515"/>
      <c r="FW257" s="515"/>
      <c r="FX257" s="515"/>
      <c r="FY257" s="515"/>
      <c r="FZ257" s="515"/>
      <c r="GA257" s="515"/>
      <c r="GB257" s="515"/>
      <c r="GC257" s="515"/>
      <c r="GD257" s="515"/>
      <c r="GE257" s="515"/>
      <c r="GF257" s="515"/>
      <c r="GG257" s="515"/>
      <c r="GH257" s="515"/>
      <c r="GI257" s="515"/>
      <c r="GJ257" s="515"/>
      <c r="GK257" s="515"/>
      <c r="GL257" s="515"/>
      <c r="GM257" s="515"/>
      <c r="GN257" s="515"/>
    </row>
    <row r="258" spans="1:196" s="525" customFormat="1" ht="13.8" hidden="1" outlineLevel="1" x14ac:dyDescent="0.25">
      <c r="A258" s="1415" t="s">
        <v>756</v>
      </c>
      <c r="B258" s="1415" t="s">
        <v>555</v>
      </c>
      <c r="C258" s="1416"/>
      <c r="D258" s="1416"/>
      <c r="E258" s="523"/>
      <c r="F258" s="520" t="s">
        <v>555</v>
      </c>
      <c r="G258" s="301">
        <v>0</v>
      </c>
      <c r="H258" s="505">
        <v>0</v>
      </c>
      <c r="I258" s="510">
        <f t="shared" si="30"/>
        <v>0</v>
      </c>
      <c r="J258" s="876" t="str">
        <f t="shared" ref="J258:J282" si="31">IFERROR(I258/G258,"-")</f>
        <v>-</v>
      </c>
      <c r="K258" s="1458"/>
      <c r="L258" s="1417"/>
      <c r="M258" s="1122"/>
      <c r="N258" s="515"/>
      <c r="O258" s="515"/>
      <c r="P258" s="515"/>
      <c r="Q258" s="515"/>
      <c r="R258" s="515"/>
      <c r="S258" s="515"/>
      <c r="T258" s="515"/>
      <c r="U258" s="515"/>
      <c r="V258" s="515"/>
      <c r="W258" s="515"/>
      <c r="X258" s="515"/>
      <c r="Y258" s="515"/>
      <c r="Z258" s="515"/>
      <c r="AA258" s="515"/>
      <c r="AB258" s="515"/>
      <c r="AC258" s="515"/>
      <c r="AD258" s="515"/>
      <c r="AE258" s="515"/>
      <c r="AF258" s="515"/>
      <c r="AG258" s="515"/>
      <c r="AH258" s="515"/>
      <c r="AI258" s="515"/>
      <c r="AJ258" s="515"/>
      <c r="AK258" s="515"/>
      <c r="AL258" s="515"/>
      <c r="AM258" s="515"/>
      <c r="AN258" s="515"/>
      <c r="AO258" s="515"/>
      <c r="AP258" s="515"/>
      <c r="AQ258" s="515"/>
      <c r="AR258" s="515"/>
      <c r="AS258" s="515"/>
      <c r="AT258" s="515"/>
      <c r="AU258" s="515"/>
      <c r="AV258" s="515"/>
      <c r="AW258" s="515"/>
      <c r="AX258" s="515"/>
      <c r="AY258" s="515"/>
      <c r="AZ258" s="515"/>
      <c r="BA258" s="515"/>
      <c r="BB258" s="515"/>
      <c r="BC258" s="515"/>
      <c r="BD258" s="515"/>
      <c r="BE258" s="515"/>
      <c r="BF258" s="515"/>
      <c r="BG258" s="515"/>
      <c r="BH258" s="515"/>
      <c r="BI258" s="515"/>
      <c r="BJ258" s="515"/>
      <c r="BK258" s="515"/>
      <c r="BL258" s="515"/>
      <c r="BM258" s="515"/>
      <c r="BN258" s="515"/>
      <c r="BO258" s="515"/>
      <c r="BP258" s="515"/>
      <c r="BQ258" s="515"/>
      <c r="BR258" s="515"/>
      <c r="BS258" s="515"/>
      <c r="BT258" s="515"/>
      <c r="BU258" s="515"/>
      <c r="BV258" s="515"/>
      <c r="BW258" s="515"/>
      <c r="BX258" s="515"/>
      <c r="BY258" s="515"/>
      <c r="BZ258" s="515"/>
      <c r="CA258" s="515"/>
      <c r="CB258" s="515"/>
      <c r="CC258" s="515"/>
      <c r="CD258" s="515"/>
      <c r="CE258" s="515"/>
      <c r="CF258" s="515"/>
      <c r="CG258" s="515"/>
      <c r="CH258" s="515"/>
      <c r="CI258" s="515"/>
      <c r="CJ258" s="515"/>
      <c r="CK258" s="515"/>
      <c r="CL258" s="515"/>
      <c r="CM258" s="515"/>
      <c r="CN258" s="515"/>
      <c r="CO258" s="515"/>
      <c r="CP258" s="515"/>
      <c r="CQ258" s="515"/>
      <c r="CR258" s="515"/>
      <c r="CS258" s="515"/>
      <c r="CT258" s="515"/>
      <c r="CU258" s="515"/>
      <c r="CV258" s="515"/>
      <c r="CW258" s="515"/>
      <c r="CX258" s="515"/>
      <c r="CY258" s="515"/>
      <c r="CZ258" s="515"/>
      <c r="DA258" s="515"/>
      <c r="DB258" s="515"/>
      <c r="DC258" s="515"/>
      <c r="DD258" s="515"/>
      <c r="DE258" s="515"/>
      <c r="DF258" s="515"/>
      <c r="DG258" s="515"/>
      <c r="DH258" s="515"/>
      <c r="DI258" s="515"/>
      <c r="DJ258" s="515"/>
      <c r="DK258" s="515"/>
      <c r="DL258" s="515"/>
      <c r="DM258" s="515"/>
      <c r="DN258" s="515"/>
      <c r="DO258" s="515"/>
      <c r="DP258" s="515"/>
      <c r="DQ258" s="515"/>
      <c r="DR258" s="515"/>
      <c r="DS258" s="515"/>
      <c r="DT258" s="515"/>
      <c r="DU258" s="515"/>
      <c r="DV258" s="515"/>
      <c r="DW258" s="515"/>
      <c r="DX258" s="515"/>
      <c r="DY258" s="515"/>
      <c r="DZ258" s="515"/>
      <c r="EA258" s="515"/>
      <c r="EB258" s="515"/>
      <c r="EC258" s="515"/>
      <c r="ED258" s="515"/>
      <c r="EE258" s="515"/>
      <c r="EF258" s="515"/>
      <c r="EG258" s="515"/>
      <c r="EH258" s="515"/>
      <c r="EI258" s="515"/>
      <c r="EJ258" s="515"/>
      <c r="EK258" s="515"/>
      <c r="EL258" s="515"/>
      <c r="EM258" s="515"/>
      <c r="EN258" s="515"/>
      <c r="EO258" s="515"/>
      <c r="EP258" s="515"/>
      <c r="EQ258" s="515"/>
      <c r="ER258" s="515"/>
      <c r="ES258" s="515"/>
      <c r="ET258" s="515"/>
      <c r="EU258" s="515"/>
      <c r="EV258" s="515"/>
      <c r="EW258" s="515"/>
      <c r="EX258" s="515"/>
      <c r="EY258" s="515"/>
      <c r="EZ258" s="515"/>
      <c r="FA258" s="515"/>
      <c r="FB258" s="515"/>
      <c r="FC258" s="515"/>
      <c r="FD258" s="515"/>
      <c r="FE258" s="515"/>
      <c r="FF258" s="515"/>
      <c r="FG258" s="515"/>
      <c r="FH258" s="515"/>
      <c r="FI258" s="515"/>
      <c r="FJ258" s="515"/>
      <c r="FK258" s="515"/>
      <c r="FL258" s="515"/>
      <c r="FM258" s="515"/>
      <c r="FN258" s="515"/>
      <c r="FO258" s="515"/>
      <c r="FP258" s="515"/>
      <c r="FQ258" s="515"/>
      <c r="FR258" s="515"/>
      <c r="FS258" s="515"/>
      <c r="FT258" s="515"/>
      <c r="FU258" s="515"/>
      <c r="FV258" s="515"/>
      <c r="FW258" s="515"/>
      <c r="FX258" s="515"/>
      <c r="FY258" s="515"/>
      <c r="FZ258" s="515"/>
      <c r="GA258" s="515"/>
      <c r="GB258" s="515"/>
      <c r="GC258" s="515"/>
      <c r="GD258" s="515"/>
      <c r="GE258" s="515"/>
      <c r="GF258" s="515"/>
      <c r="GG258" s="515"/>
      <c r="GH258" s="515"/>
      <c r="GI258" s="515"/>
      <c r="GJ258" s="515"/>
      <c r="GK258" s="515"/>
      <c r="GL258" s="515"/>
      <c r="GM258" s="515"/>
      <c r="GN258" s="515"/>
    </row>
    <row r="259" spans="1:196" ht="27.6" collapsed="1" x14ac:dyDescent="0.25">
      <c r="C259" s="923">
        <f>959478-G265</f>
        <v>942578</v>
      </c>
      <c r="D259" s="923">
        <f>C259-G259</f>
        <v>-32000</v>
      </c>
      <c r="E259" s="151" t="s">
        <v>288</v>
      </c>
      <c r="F259" s="145" t="s">
        <v>632</v>
      </c>
      <c r="G259" s="302">
        <v>974578</v>
      </c>
      <c r="H259" s="302">
        <v>1127885.3067867202</v>
      </c>
      <c r="I259" s="132">
        <f t="shared" si="30"/>
        <v>153307.30678672018</v>
      </c>
      <c r="J259" s="867">
        <f t="shared" si="31"/>
        <v>0.15730634878554633</v>
      </c>
      <c r="K259" s="221"/>
      <c r="L259" s="224"/>
    </row>
    <row r="260" spans="1:196" s="104" customFormat="1" ht="13.8" hidden="1" outlineLevel="1" x14ac:dyDescent="0.25">
      <c r="A260" s="810" t="s">
        <v>765</v>
      </c>
      <c r="B260" s="810" t="s">
        <v>228</v>
      </c>
      <c r="C260" s="923"/>
      <c r="D260" s="923"/>
      <c r="E260" s="159"/>
      <c r="F260" s="215" t="s">
        <v>228</v>
      </c>
      <c r="G260" s="304">
        <v>746103</v>
      </c>
      <c r="H260" s="304">
        <v>821903.30678672029</v>
      </c>
      <c r="I260" s="153">
        <f t="shared" si="30"/>
        <v>75800.306786720292</v>
      </c>
      <c r="J260" s="878">
        <f t="shared" si="31"/>
        <v>0.10159496314412392</v>
      </c>
      <c r="K260" s="455"/>
      <c r="L260" s="224"/>
      <c r="M260" s="107"/>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row>
    <row r="261" spans="1:196" s="104" customFormat="1" ht="57" hidden="1" customHeight="1" outlineLevel="1" x14ac:dyDescent="0.25">
      <c r="A261" s="810" t="s">
        <v>765</v>
      </c>
      <c r="B261" s="810" t="s">
        <v>554</v>
      </c>
      <c r="C261" s="923"/>
      <c r="D261" s="923"/>
      <c r="E261" s="214"/>
      <c r="F261" s="160" t="s">
        <v>198</v>
      </c>
      <c r="G261" s="307">
        <v>112366</v>
      </c>
      <c r="H261" s="307">
        <v>137133</v>
      </c>
      <c r="I261" s="153">
        <f t="shared" si="30"/>
        <v>24767</v>
      </c>
      <c r="J261" s="878">
        <f t="shared" si="31"/>
        <v>0.22041364825659007</v>
      </c>
      <c r="K261" s="455" t="s">
        <v>1617</v>
      </c>
      <c r="L261" s="224"/>
      <c r="M261" s="107"/>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row>
    <row r="262" spans="1:196" s="104" customFormat="1" ht="60" hidden="1" customHeight="1" outlineLevel="1" x14ac:dyDescent="0.25">
      <c r="A262" s="810" t="s">
        <v>765</v>
      </c>
      <c r="B262" s="810" t="s">
        <v>1270</v>
      </c>
      <c r="C262" s="923"/>
      <c r="D262" s="923"/>
      <c r="E262" s="500"/>
      <c r="F262" s="160" t="s">
        <v>1269</v>
      </c>
      <c r="G262" s="307">
        <v>110918</v>
      </c>
      <c r="H262" s="307">
        <v>160349</v>
      </c>
      <c r="I262" s="153">
        <f t="shared" ref="I262" si="32">H262-G262</f>
        <v>49431</v>
      </c>
      <c r="J262" s="878">
        <f t="shared" ref="J262" si="33">IFERROR(I262/G262,"-")</f>
        <v>0.44565354586270939</v>
      </c>
      <c r="K262" s="996" t="s">
        <v>1273</v>
      </c>
      <c r="L262" s="224"/>
      <c r="M262" s="107"/>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row>
    <row r="263" spans="1:196" s="104" customFormat="1" ht="13.8" hidden="1" outlineLevel="1" x14ac:dyDescent="0.25">
      <c r="A263" s="810" t="s">
        <v>765</v>
      </c>
      <c r="B263" s="810" t="s">
        <v>556</v>
      </c>
      <c r="C263" s="923"/>
      <c r="D263" s="923"/>
      <c r="E263" s="159"/>
      <c r="F263" s="160" t="s">
        <v>197</v>
      </c>
      <c r="G263" s="304">
        <v>5191</v>
      </c>
      <c r="H263" s="304">
        <v>8500</v>
      </c>
      <c r="I263" s="153">
        <f t="shared" si="30"/>
        <v>3309</v>
      </c>
      <c r="J263" s="878">
        <f t="shared" si="31"/>
        <v>0.63744943170872659</v>
      </c>
      <c r="K263" s="218"/>
      <c r="L263" s="224"/>
      <c r="M263" s="107"/>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row>
    <row r="264" spans="1:196" s="525" customFormat="1" ht="13.8" hidden="1" outlineLevel="1" x14ac:dyDescent="0.25">
      <c r="A264" s="1101" t="s">
        <v>766</v>
      </c>
      <c r="B264" s="1101" t="s">
        <v>182</v>
      </c>
      <c r="C264" s="1102">
        <v>158625</v>
      </c>
      <c r="D264" s="1102">
        <f>C264-G264</f>
        <v>-8.5599999991245568E-2</v>
      </c>
      <c r="E264" s="523"/>
      <c r="F264" s="520" t="s">
        <v>167</v>
      </c>
      <c r="G264" s="304">
        <v>158625.08559999999</v>
      </c>
      <c r="H264" s="504">
        <v>192011.22961600003</v>
      </c>
      <c r="I264" s="510">
        <f t="shared" si="30"/>
        <v>33386.144016000035</v>
      </c>
      <c r="J264" s="876">
        <f t="shared" si="31"/>
        <v>0.21047203151832397</v>
      </c>
      <c r="K264" s="1458"/>
      <c r="L264" s="507"/>
      <c r="M264" s="1122"/>
      <c r="N264" s="515"/>
      <c r="O264" s="515"/>
      <c r="P264" s="515"/>
      <c r="Q264" s="515"/>
      <c r="R264" s="515"/>
      <c r="S264" s="515"/>
      <c r="T264" s="515"/>
      <c r="U264" s="515"/>
      <c r="V264" s="515"/>
      <c r="W264" s="515"/>
      <c r="X264" s="515"/>
      <c r="Y264" s="515"/>
      <c r="Z264" s="515"/>
      <c r="AA264" s="515"/>
      <c r="AB264" s="515"/>
      <c r="AC264" s="515"/>
      <c r="AD264" s="515"/>
      <c r="AE264" s="515"/>
      <c r="AF264" s="515"/>
      <c r="AG264" s="515"/>
      <c r="AH264" s="515"/>
      <c r="AI264" s="515"/>
      <c r="AJ264" s="515"/>
      <c r="AK264" s="515"/>
      <c r="AL264" s="515"/>
      <c r="AM264" s="515"/>
      <c r="AN264" s="515"/>
      <c r="AO264" s="515"/>
      <c r="AP264" s="515"/>
      <c r="AQ264" s="515"/>
      <c r="AR264" s="515"/>
      <c r="AS264" s="515"/>
      <c r="AT264" s="515"/>
      <c r="AU264" s="515"/>
      <c r="AV264" s="515"/>
      <c r="AW264" s="515"/>
      <c r="AX264" s="515"/>
      <c r="AY264" s="515"/>
      <c r="AZ264" s="515"/>
      <c r="BA264" s="515"/>
      <c r="BB264" s="515"/>
      <c r="BC264" s="515"/>
      <c r="BD264" s="515"/>
      <c r="BE264" s="515"/>
      <c r="BF264" s="515"/>
      <c r="BG264" s="515"/>
      <c r="BH264" s="515"/>
      <c r="BI264" s="515"/>
      <c r="BJ264" s="515"/>
      <c r="BK264" s="515"/>
      <c r="BL264" s="515"/>
      <c r="BM264" s="515"/>
      <c r="BN264" s="515"/>
      <c r="BO264" s="515"/>
      <c r="BP264" s="515"/>
      <c r="BQ264" s="515"/>
      <c r="BR264" s="515"/>
      <c r="BS264" s="515"/>
      <c r="BT264" s="515"/>
      <c r="BU264" s="515"/>
      <c r="BV264" s="515"/>
      <c r="BW264" s="515"/>
      <c r="BX264" s="515"/>
      <c r="BY264" s="515"/>
      <c r="BZ264" s="515"/>
      <c r="CA264" s="515"/>
      <c r="CB264" s="515"/>
      <c r="CC264" s="515"/>
      <c r="CD264" s="515"/>
      <c r="CE264" s="515"/>
      <c r="CF264" s="515"/>
      <c r="CG264" s="515"/>
      <c r="CH264" s="515"/>
      <c r="CI264" s="515"/>
      <c r="CJ264" s="515"/>
      <c r="CK264" s="515"/>
      <c r="CL264" s="515"/>
      <c r="CM264" s="515"/>
      <c r="CN264" s="515"/>
      <c r="CO264" s="515"/>
      <c r="CP264" s="515"/>
      <c r="CQ264" s="515"/>
      <c r="CR264" s="515"/>
      <c r="CS264" s="515"/>
      <c r="CT264" s="515"/>
      <c r="CU264" s="515"/>
      <c r="CV264" s="515"/>
      <c r="CW264" s="515"/>
      <c r="CX264" s="515"/>
      <c r="CY264" s="515"/>
      <c r="CZ264" s="515"/>
      <c r="DA264" s="515"/>
      <c r="DB264" s="515"/>
      <c r="DC264" s="515"/>
      <c r="DD264" s="515"/>
      <c r="DE264" s="515"/>
      <c r="DF264" s="515"/>
      <c r="DG264" s="515"/>
      <c r="DH264" s="515"/>
      <c r="DI264" s="515"/>
      <c r="DJ264" s="515"/>
      <c r="DK264" s="515"/>
      <c r="DL264" s="515"/>
      <c r="DM264" s="515"/>
      <c r="DN264" s="515"/>
      <c r="DO264" s="515"/>
      <c r="DP264" s="515"/>
      <c r="DQ264" s="515"/>
      <c r="DR264" s="515"/>
      <c r="DS264" s="515"/>
      <c r="DT264" s="515"/>
      <c r="DU264" s="515"/>
      <c r="DV264" s="515"/>
      <c r="DW264" s="515"/>
      <c r="DX264" s="515"/>
      <c r="DY264" s="515"/>
      <c r="DZ264" s="515"/>
      <c r="EA264" s="515"/>
      <c r="EB264" s="515"/>
      <c r="EC264" s="515"/>
      <c r="ED264" s="515"/>
      <c r="EE264" s="515"/>
      <c r="EF264" s="515"/>
      <c r="EG264" s="515"/>
      <c r="EH264" s="515"/>
      <c r="EI264" s="515"/>
      <c r="EJ264" s="515"/>
      <c r="EK264" s="515"/>
      <c r="EL264" s="515"/>
      <c r="EM264" s="515"/>
      <c r="EN264" s="515"/>
      <c r="EO264" s="515"/>
      <c r="EP264" s="515"/>
      <c r="EQ264" s="515"/>
      <c r="ER264" s="515"/>
      <c r="ES264" s="515"/>
      <c r="ET264" s="515"/>
      <c r="EU264" s="515"/>
      <c r="EV264" s="515"/>
      <c r="EW264" s="515"/>
      <c r="EX264" s="515"/>
      <c r="EY264" s="515"/>
      <c r="EZ264" s="515"/>
      <c r="FA264" s="515"/>
      <c r="FB264" s="515"/>
      <c r="FC264" s="515"/>
      <c r="FD264" s="515"/>
      <c r="FE264" s="515"/>
      <c r="FF264" s="515"/>
      <c r="FG264" s="515"/>
      <c r="FH264" s="515"/>
      <c r="FI264" s="515"/>
      <c r="FJ264" s="515"/>
      <c r="FK264" s="515"/>
      <c r="FL264" s="515"/>
      <c r="FM264" s="515"/>
      <c r="FN264" s="515"/>
      <c r="FO264" s="515"/>
      <c r="FP264" s="515"/>
      <c r="FQ264" s="515"/>
      <c r="FR264" s="515"/>
      <c r="FS264" s="515"/>
      <c r="FT264" s="515"/>
      <c r="FU264" s="515"/>
      <c r="FV264" s="515"/>
      <c r="FW264" s="515"/>
      <c r="FX264" s="515"/>
      <c r="FY264" s="515"/>
      <c r="FZ264" s="515"/>
      <c r="GA264" s="515"/>
      <c r="GB264" s="515"/>
      <c r="GC264" s="515"/>
      <c r="GD264" s="515"/>
      <c r="GE264" s="515"/>
      <c r="GF264" s="515"/>
      <c r="GG264" s="515"/>
      <c r="GH264" s="515"/>
      <c r="GI264" s="515"/>
      <c r="GJ264" s="515"/>
      <c r="GK264" s="515"/>
      <c r="GL264" s="515"/>
      <c r="GM264" s="515"/>
      <c r="GN264" s="515"/>
    </row>
    <row r="265" spans="1:196" s="525" customFormat="1" ht="13.8" hidden="1" outlineLevel="1" x14ac:dyDescent="0.25">
      <c r="A265" s="1101" t="s">
        <v>765</v>
      </c>
      <c r="B265" s="1101" t="s">
        <v>555</v>
      </c>
      <c r="C265" s="1102"/>
      <c r="D265" s="1102"/>
      <c r="E265" s="523"/>
      <c r="F265" s="520" t="s">
        <v>555</v>
      </c>
      <c r="G265" s="304">
        <v>16900</v>
      </c>
      <c r="H265" s="504">
        <v>20128</v>
      </c>
      <c r="I265" s="510">
        <f t="shared" si="30"/>
        <v>3228</v>
      </c>
      <c r="J265" s="876">
        <f t="shared" si="31"/>
        <v>0.19100591715976331</v>
      </c>
      <c r="K265" s="516"/>
      <c r="L265" s="507"/>
      <c r="M265" s="1122"/>
      <c r="N265" s="515"/>
      <c r="O265" s="515"/>
      <c r="P265" s="515"/>
      <c r="Q265" s="515"/>
      <c r="R265" s="515"/>
      <c r="S265" s="515"/>
      <c r="T265" s="515"/>
      <c r="U265" s="515"/>
      <c r="V265" s="515"/>
      <c r="W265" s="515"/>
      <c r="X265" s="515"/>
      <c r="Y265" s="515"/>
      <c r="Z265" s="515"/>
      <c r="AA265" s="515"/>
      <c r="AB265" s="515"/>
      <c r="AC265" s="515"/>
      <c r="AD265" s="515"/>
      <c r="AE265" s="515"/>
      <c r="AF265" s="515"/>
      <c r="AG265" s="515"/>
      <c r="AH265" s="515"/>
      <c r="AI265" s="515"/>
      <c r="AJ265" s="515"/>
      <c r="AK265" s="515"/>
      <c r="AL265" s="515"/>
      <c r="AM265" s="515"/>
      <c r="AN265" s="515"/>
      <c r="AO265" s="515"/>
      <c r="AP265" s="515"/>
      <c r="AQ265" s="515"/>
      <c r="AR265" s="515"/>
      <c r="AS265" s="515"/>
      <c r="AT265" s="515"/>
      <c r="AU265" s="515"/>
      <c r="AV265" s="515"/>
      <c r="AW265" s="515"/>
      <c r="AX265" s="515"/>
      <c r="AY265" s="515"/>
      <c r="AZ265" s="515"/>
      <c r="BA265" s="515"/>
      <c r="BB265" s="515"/>
      <c r="BC265" s="515"/>
      <c r="BD265" s="515"/>
      <c r="BE265" s="515"/>
      <c r="BF265" s="515"/>
      <c r="BG265" s="515"/>
      <c r="BH265" s="515"/>
      <c r="BI265" s="515"/>
      <c r="BJ265" s="515"/>
      <c r="BK265" s="515"/>
      <c r="BL265" s="515"/>
      <c r="BM265" s="515"/>
      <c r="BN265" s="515"/>
      <c r="BO265" s="515"/>
      <c r="BP265" s="515"/>
      <c r="BQ265" s="515"/>
      <c r="BR265" s="515"/>
      <c r="BS265" s="515"/>
      <c r="BT265" s="515"/>
      <c r="BU265" s="515"/>
      <c r="BV265" s="515"/>
      <c r="BW265" s="515"/>
      <c r="BX265" s="515"/>
      <c r="BY265" s="515"/>
      <c r="BZ265" s="515"/>
      <c r="CA265" s="515"/>
      <c r="CB265" s="515"/>
      <c r="CC265" s="515"/>
      <c r="CD265" s="515"/>
      <c r="CE265" s="515"/>
      <c r="CF265" s="515"/>
      <c r="CG265" s="515"/>
      <c r="CH265" s="515"/>
      <c r="CI265" s="515"/>
      <c r="CJ265" s="515"/>
      <c r="CK265" s="515"/>
      <c r="CL265" s="515"/>
      <c r="CM265" s="515"/>
      <c r="CN265" s="515"/>
      <c r="CO265" s="515"/>
      <c r="CP265" s="515"/>
      <c r="CQ265" s="515"/>
      <c r="CR265" s="515"/>
      <c r="CS265" s="515"/>
      <c r="CT265" s="515"/>
      <c r="CU265" s="515"/>
      <c r="CV265" s="515"/>
      <c r="CW265" s="515"/>
      <c r="CX265" s="515"/>
      <c r="CY265" s="515"/>
      <c r="CZ265" s="515"/>
      <c r="DA265" s="515"/>
      <c r="DB265" s="515"/>
      <c r="DC265" s="515"/>
      <c r="DD265" s="515"/>
      <c r="DE265" s="515"/>
      <c r="DF265" s="515"/>
      <c r="DG265" s="515"/>
      <c r="DH265" s="515"/>
      <c r="DI265" s="515"/>
      <c r="DJ265" s="515"/>
      <c r="DK265" s="515"/>
      <c r="DL265" s="515"/>
      <c r="DM265" s="515"/>
      <c r="DN265" s="515"/>
      <c r="DO265" s="515"/>
      <c r="DP265" s="515"/>
      <c r="DQ265" s="515"/>
      <c r="DR265" s="515"/>
      <c r="DS265" s="515"/>
      <c r="DT265" s="515"/>
      <c r="DU265" s="515"/>
      <c r="DV265" s="515"/>
      <c r="DW265" s="515"/>
      <c r="DX265" s="515"/>
      <c r="DY265" s="515"/>
      <c r="DZ265" s="515"/>
      <c r="EA265" s="515"/>
      <c r="EB265" s="515"/>
      <c r="EC265" s="515"/>
      <c r="ED265" s="515"/>
      <c r="EE265" s="515"/>
      <c r="EF265" s="515"/>
      <c r="EG265" s="515"/>
      <c r="EH265" s="515"/>
      <c r="EI265" s="515"/>
      <c r="EJ265" s="515"/>
      <c r="EK265" s="515"/>
      <c r="EL265" s="515"/>
      <c r="EM265" s="515"/>
      <c r="EN265" s="515"/>
      <c r="EO265" s="515"/>
      <c r="EP265" s="515"/>
      <c r="EQ265" s="515"/>
      <c r="ER265" s="515"/>
      <c r="ES265" s="515"/>
      <c r="ET265" s="515"/>
      <c r="EU265" s="515"/>
      <c r="EV265" s="515"/>
      <c r="EW265" s="515"/>
      <c r="EX265" s="515"/>
      <c r="EY265" s="515"/>
      <c r="EZ265" s="515"/>
      <c r="FA265" s="515"/>
      <c r="FB265" s="515"/>
      <c r="FC265" s="515"/>
      <c r="FD265" s="515"/>
      <c r="FE265" s="515"/>
      <c r="FF265" s="515"/>
      <c r="FG265" s="515"/>
      <c r="FH265" s="515"/>
      <c r="FI265" s="515"/>
      <c r="FJ265" s="515"/>
      <c r="FK265" s="515"/>
      <c r="FL265" s="515"/>
      <c r="FM265" s="515"/>
      <c r="FN265" s="515"/>
      <c r="FO265" s="515"/>
      <c r="FP265" s="515"/>
      <c r="FQ265" s="515"/>
      <c r="FR265" s="515"/>
      <c r="FS265" s="515"/>
      <c r="FT265" s="515"/>
      <c r="FU265" s="515"/>
      <c r="FV265" s="515"/>
      <c r="FW265" s="515"/>
      <c r="FX265" s="515"/>
      <c r="FY265" s="515"/>
      <c r="FZ265" s="515"/>
      <c r="GA265" s="515"/>
      <c r="GB265" s="515"/>
      <c r="GC265" s="515"/>
      <c r="GD265" s="515"/>
      <c r="GE265" s="515"/>
      <c r="GF265" s="515"/>
      <c r="GG265" s="515"/>
      <c r="GH265" s="515"/>
      <c r="GI265" s="515"/>
      <c r="GJ265" s="515"/>
      <c r="GK265" s="515"/>
      <c r="GL265" s="515"/>
      <c r="GM265" s="515"/>
      <c r="GN265" s="515"/>
    </row>
    <row r="266" spans="1:196" ht="28.95" customHeight="1" collapsed="1" x14ac:dyDescent="0.25">
      <c r="C266" s="923">
        <f>1002535-G272</f>
        <v>994984</v>
      </c>
      <c r="D266" s="923">
        <f>C266-G266</f>
        <v>0</v>
      </c>
      <c r="E266" s="151" t="s">
        <v>629</v>
      </c>
      <c r="F266" s="145" t="s">
        <v>633</v>
      </c>
      <c r="G266" s="302">
        <v>994984</v>
      </c>
      <c r="H266" s="302">
        <v>1147015.2936508402</v>
      </c>
      <c r="I266" s="132">
        <f t="shared" si="30"/>
        <v>152031.29365084018</v>
      </c>
      <c r="J266" s="867">
        <f t="shared" si="31"/>
        <v>0.15279772704972158</v>
      </c>
      <c r="K266" s="217"/>
      <c r="L266" s="224"/>
    </row>
    <row r="267" spans="1:196" s="104" customFormat="1" ht="13.8" hidden="1" outlineLevel="1" x14ac:dyDescent="0.25">
      <c r="A267" s="810" t="s">
        <v>795</v>
      </c>
      <c r="B267" s="810" t="s">
        <v>228</v>
      </c>
      <c r="C267" s="923"/>
      <c r="D267" s="923"/>
      <c r="E267" s="159"/>
      <c r="F267" s="215" t="s">
        <v>228</v>
      </c>
      <c r="G267" s="304">
        <v>789993</v>
      </c>
      <c r="H267" s="304">
        <v>887162.04152584018</v>
      </c>
      <c r="I267" s="153">
        <f t="shared" si="30"/>
        <v>97169.041525840177</v>
      </c>
      <c r="J267" s="878">
        <f t="shared" si="31"/>
        <v>0.12299987661389428</v>
      </c>
      <c r="K267" s="438" t="s">
        <v>1275</v>
      </c>
      <c r="L267" s="224"/>
      <c r="M267" s="10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row>
    <row r="268" spans="1:196" s="104" customFormat="1" ht="41.4" hidden="1" outlineLevel="1" x14ac:dyDescent="0.25">
      <c r="A268" s="810" t="s">
        <v>795</v>
      </c>
      <c r="B268" s="810" t="s">
        <v>554</v>
      </c>
      <c r="C268" s="923"/>
      <c r="D268" s="923"/>
      <c r="E268" s="214"/>
      <c r="F268" s="160" t="s">
        <v>198</v>
      </c>
      <c r="G268" s="307">
        <v>82437</v>
      </c>
      <c r="H268" s="307">
        <v>99401.252124999999</v>
      </c>
      <c r="I268" s="153">
        <f t="shared" si="30"/>
        <v>16964.252124999999</v>
      </c>
      <c r="J268" s="878">
        <f t="shared" si="31"/>
        <v>0.20578444296856993</v>
      </c>
      <c r="K268" s="455" t="s">
        <v>1618</v>
      </c>
      <c r="L268" s="224"/>
      <c r="M268" s="107"/>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row>
    <row r="269" spans="1:196" s="104" customFormat="1" ht="55.2" hidden="1" outlineLevel="1" x14ac:dyDescent="0.25">
      <c r="A269" s="810" t="s">
        <v>795</v>
      </c>
      <c r="B269" s="810" t="s">
        <v>1270</v>
      </c>
      <c r="C269" s="923"/>
      <c r="D269" s="923"/>
      <c r="E269" s="500"/>
      <c r="F269" s="160" t="s">
        <v>1269</v>
      </c>
      <c r="G269" s="304">
        <v>121654</v>
      </c>
      <c r="H269" s="304">
        <v>158747</v>
      </c>
      <c r="I269" s="153">
        <f t="shared" ref="I269" si="34">H269-G269</f>
        <v>37093</v>
      </c>
      <c r="J269" s="878">
        <f t="shared" ref="J269" si="35">IFERROR(I269/G269,"-")</f>
        <v>0.30490571621155077</v>
      </c>
      <c r="K269" s="996" t="s">
        <v>1274</v>
      </c>
      <c r="L269" s="224"/>
      <c r="M269" s="107"/>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row>
    <row r="270" spans="1:196" s="104" customFormat="1" ht="13.8" hidden="1" outlineLevel="1" x14ac:dyDescent="0.25">
      <c r="A270" s="810" t="s">
        <v>795</v>
      </c>
      <c r="B270" s="810" t="s">
        <v>556</v>
      </c>
      <c r="C270" s="923"/>
      <c r="D270" s="923"/>
      <c r="E270" s="159"/>
      <c r="F270" s="160" t="s">
        <v>197</v>
      </c>
      <c r="G270" s="304">
        <v>900</v>
      </c>
      <c r="H270" s="304">
        <v>1705</v>
      </c>
      <c r="I270" s="153">
        <f t="shared" si="30"/>
        <v>805</v>
      </c>
      <c r="J270" s="878">
        <f t="shared" si="31"/>
        <v>0.89444444444444449</v>
      </c>
      <c r="K270" s="438"/>
      <c r="L270" s="224"/>
      <c r="M270" s="107"/>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row>
    <row r="271" spans="1:196" s="525" customFormat="1" ht="13.8" hidden="1" outlineLevel="1" x14ac:dyDescent="0.25">
      <c r="A271" s="1415" t="s">
        <v>796</v>
      </c>
      <c r="B271" s="1415" t="s">
        <v>182</v>
      </c>
      <c r="C271" s="1416">
        <v>56618</v>
      </c>
      <c r="D271" s="1416">
        <f>C271-G271</f>
        <v>-0.12000000000261934</v>
      </c>
      <c r="E271" s="523"/>
      <c r="F271" s="520" t="s">
        <v>167</v>
      </c>
      <c r="G271" s="301">
        <v>56618.12</v>
      </c>
      <c r="H271" s="505">
        <v>71134.014768000008</v>
      </c>
      <c r="I271" s="510">
        <f t="shared" si="30"/>
        <v>14515.894768000006</v>
      </c>
      <c r="J271" s="876">
        <f t="shared" si="31"/>
        <v>0.25638249323714751</v>
      </c>
      <c r="K271" s="1458"/>
      <c r="L271" s="1417"/>
      <c r="M271" s="1122"/>
      <c r="N271" s="515"/>
      <c r="O271" s="515"/>
      <c r="P271" s="515"/>
      <c r="Q271" s="515"/>
      <c r="R271" s="515"/>
      <c r="S271" s="515"/>
      <c r="T271" s="515"/>
      <c r="U271" s="515"/>
      <c r="V271" s="515"/>
      <c r="W271" s="515"/>
      <c r="X271" s="515"/>
      <c r="Y271" s="515"/>
      <c r="Z271" s="515"/>
      <c r="AA271" s="515"/>
      <c r="AB271" s="515"/>
      <c r="AC271" s="515"/>
      <c r="AD271" s="515"/>
      <c r="AE271" s="515"/>
      <c r="AF271" s="515"/>
      <c r="AG271" s="515"/>
      <c r="AH271" s="515"/>
      <c r="AI271" s="515"/>
      <c r="AJ271" s="515"/>
      <c r="AK271" s="515"/>
      <c r="AL271" s="515"/>
      <c r="AM271" s="515"/>
      <c r="AN271" s="515"/>
      <c r="AO271" s="515"/>
      <c r="AP271" s="515"/>
      <c r="AQ271" s="515"/>
      <c r="AR271" s="515"/>
      <c r="AS271" s="515"/>
      <c r="AT271" s="515"/>
      <c r="AU271" s="515"/>
      <c r="AV271" s="515"/>
      <c r="AW271" s="515"/>
      <c r="AX271" s="515"/>
      <c r="AY271" s="515"/>
      <c r="AZ271" s="515"/>
      <c r="BA271" s="515"/>
      <c r="BB271" s="515"/>
      <c r="BC271" s="515"/>
      <c r="BD271" s="515"/>
      <c r="BE271" s="515"/>
      <c r="BF271" s="515"/>
      <c r="BG271" s="515"/>
      <c r="BH271" s="515"/>
      <c r="BI271" s="515"/>
      <c r="BJ271" s="515"/>
      <c r="BK271" s="515"/>
      <c r="BL271" s="515"/>
      <c r="BM271" s="515"/>
      <c r="BN271" s="515"/>
      <c r="BO271" s="515"/>
      <c r="BP271" s="515"/>
      <c r="BQ271" s="515"/>
      <c r="BR271" s="515"/>
      <c r="BS271" s="515"/>
      <c r="BT271" s="515"/>
      <c r="BU271" s="515"/>
      <c r="BV271" s="515"/>
      <c r="BW271" s="515"/>
      <c r="BX271" s="515"/>
      <c r="BY271" s="515"/>
      <c r="BZ271" s="515"/>
      <c r="CA271" s="515"/>
      <c r="CB271" s="515"/>
      <c r="CC271" s="515"/>
      <c r="CD271" s="515"/>
      <c r="CE271" s="515"/>
      <c r="CF271" s="515"/>
      <c r="CG271" s="515"/>
      <c r="CH271" s="515"/>
      <c r="CI271" s="515"/>
      <c r="CJ271" s="515"/>
      <c r="CK271" s="515"/>
      <c r="CL271" s="515"/>
      <c r="CM271" s="515"/>
      <c r="CN271" s="515"/>
      <c r="CO271" s="515"/>
      <c r="CP271" s="515"/>
      <c r="CQ271" s="515"/>
      <c r="CR271" s="515"/>
      <c r="CS271" s="515"/>
      <c r="CT271" s="515"/>
      <c r="CU271" s="515"/>
      <c r="CV271" s="515"/>
      <c r="CW271" s="515"/>
      <c r="CX271" s="515"/>
      <c r="CY271" s="515"/>
      <c r="CZ271" s="515"/>
      <c r="DA271" s="515"/>
      <c r="DB271" s="515"/>
      <c r="DC271" s="515"/>
      <c r="DD271" s="515"/>
      <c r="DE271" s="515"/>
      <c r="DF271" s="515"/>
      <c r="DG271" s="515"/>
      <c r="DH271" s="515"/>
      <c r="DI271" s="515"/>
      <c r="DJ271" s="515"/>
      <c r="DK271" s="515"/>
      <c r="DL271" s="515"/>
      <c r="DM271" s="515"/>
      <c r="DN271" s="515"/>
      <c r="DO271" s="515"/>
      <c r="DP271" s="515"/>
      <c r="DQ271" s="515"/>
      <c r="DR271" s="515"/>
      <c r="DS271" s="515"/>
      <c r="DT271" s="515"/>
      <c r="DU271" s="515"/>
      <c r="DV271" s="515"/>
      <c r="DW271" s="515"/>
      <c r="DX271" s="515"/>
      <c r="DY271" s="515"/>
      <c r="DZ271" s="515"/>
      <c r="EA271" s="515"/>
      <c r="EB271" s="515"/>
      <c r="EC271" s="515"/>
      <c r="ED271" s="515"/>
      <c r="EE271" s="515"/>
      <c r="EF271" s="515"/>
      <c r="EG271" s="515"/>
      <c r="EH271" s="515"/>
      <c r="EI271" s="515"/>
      <c r="EJ271" s="515"/>
      <c r="EK271" s="515"/>
      <c r="EL271" s="515"/>
      <c r="EM271" s="515"/>
      <c r="EN271" s="515"/>
      <c r="EO271" s="515"/>
      <c r="EP271" s="515"/>
      <c r="EQ271" s="515"/>
      <c r="ER271" s="515"/>
      <c r="ES271" s="515"/>
      <c r="ET271" s="515"/>
      <c r="EU271" s="515"/>
      <c r="EV271" s="515"/>
      <c r="EW271" s="515"/>
      <c r="EX271" s="515"/>
      <c r="EY271" s="515"/>
      <c r="EZ271" s="515"/>
      <c r="FA271" s="515"/>
      <c r="FB271" s="515"/>
      <c r="FC271" s="515"/>
      <c r="FD271" s="515"/>
      <c r="FE271" s="515"/>
      <c r="FF271" s="515"/>
      <c r="FG271" s="515"/>
      <c r="FH271" s="515"/>
      <c r="FI271" s="515"/>
      <c r="FJ271" s="515"/>
      <c r="FK271" s="515"/>
      <c r="FL271" s="515"/>
      <c r="FM271" s="515"/>
      <c r="FN271" s="515"/>
      <c r="FO271" s="515"/>
      <c r="FP271" s="515"/>
      <c r="FQ271" s="515"/>
      <c r="FR271" s="515"/>
      <c r="FS271" s="515"/>
      <c r="FT271" s="515"/>
      <c r="FU271" s="515"/>
      <c r="FV271" s="515"/>
      <c r="FW271" s="515"/>
      <c r="FX271" s="515"/>
      <c r="FY271" s="515"/>
      <c r="FZ271" s="515"/>
      <c r="GA271" s="515"/>
      <c r="GB271" s="515"/>
      <c r="GC271" s="515"/>
      <c r="GD271" s="515"/>
      <c r="GE271" s="515"/>
      <c r="GF271" s="515"/>
      <c r="GG271" s="515"/>
      <c r="GH271" s="515"/>
      <c r="GI271" s="515"/>
      <c r="GJ271" s="515"/>
      <c r="GK271" s="515"/>
      <c r="GL271" s="515"/>
      <c r="GM271" s="515"/>
      <c r="GN271" s="515"/>
    </row>
    <row r="272" spans="1:196" s="525" customFormat="1" ht="13.8" hidden="1" outlineLevel="1" x14ac:dyDescent="0.25">
      <c r="A272" s="1415" t="s">
        <v>795</v>
      </c>
      <c r="B272" s="1415" t="s">
        <v>555</v>
      </c>
      <c r="C272" s="1416"/>
      <c r="D272" s="1416"/>
      <c r="E272" s="523"/>
      <c r="F272" s="520" t="s">
        <v>555</v>
      </c>
      <c r="G272" s="301">
        <v>7551</v>
      </c>
      <c r="H272" s="505">
        <v>17894</v>
      </c>
      <c r="I272" s="510">
        <f t="shared" si="30"/>
        <v>10343</v>
      </c>
      <c r="J272" s="876">
        <f t="shared" si="31"/>
        <v>1.3697523506820288</v>
      </c>
      <c r="K272" s="1458"/>
      <c r="L272" s="1417"/>
      <c r="M272" s="1122"/>
      <c r="N272" s="515"/>
      <c r="O272" s="515"/>
      <c r="P272" s="515"/>
      <c r="Q272" s="515"/>
      <c r="R272" s="515"/>
      <c r="S272" s="515"/>
      <c r="T272" s="515"/>
      <c r="U272" s="515"/>
      <c r="V272" s="515"/>
      <c r="W272" s="515"/>
      <c r="X272" s="515"/>
      <c r="Y272" s="515"/>
      <c r="Z272" s="515"/>
      <c r="AA272" s="515"/>
      <c r="AB272" s="515"/>
      <c r="AC272" s="515"/>
      <c r="AD272" s="515"/>
      <c r="AE272" s="515"/>
      <c r="AF272" s="515"/>
      <c r="AG272" s="515"/>
      <c r="AH272" s="515"/>
      <c r="AI272" s="515"/>
      <c r="AJ272" s="515"/>
      <c r="AK272" s="515"/>
      <c r="AL272" s="515"/>
      <c r="AM272" s="515"/>
      <c r="AN272" s="515"/>
      <c r="AO272" s="515"/>
      <c r="AP272" s="515"/>
      <c r="AQ272" s="515"/>
      <c r="AR272" s="515"/>
      <c r="AS272" s="515"/>
      <c r="AT272" s="515"/>
      <c r="AU272" s="515"/>
      <c r="AV272" s="515"/>
      <c r="AW272" s="515"/>
      <c r="AX272" s="515"/>
      <c r="AY272" s="515"/>
      <c r="AZ272" s="515"/>
      <c r="BA272" s="515"/>
      <c r="BB272" s="515"/>
      <c r="BC272" s="515"/>
      <c r="BD272" s="515"/>
      <c r="BE272" s="515"/>
      <c r="BF272" s="515"/>
      <c r="BG272" s="515"/>
      <c r="BH272" s="515"/>
      <c r="BI272" s="515"/>
      <c r="BJ272" s="515"/>
      <c r="BK272" s="515"/>
      <c r="BL272" s="515"/>
      <c r="BM272" s="515"/>
      <c r="BN272" s="515"/>
      <c r="BO272" s="515"/>
      <c r="BP272" s="515"/>
      <c r="BQ272" s="515"/>
      <c r="BR272" s="515"/>
      <c r="BS272" s="515"/>
      <c r="BT272" s="515"/>
      <c r="BU272" s="515"/>
      <c r="BV272" s="515"/>
      <c r="BW272" s="515"/>
      <c r="BX272" s="515"/>
      <c r="BY272" s="515"/>
      <c r="BZ272" s="515"/>
      <c r="CA272" s="515"/>
      <c r="CB272" s="515"/>
      <c r="CC272" s="515"/>
      <c r="CD272" s="515"/>
      <c r="CE272" s="515"/>
      <c r="CF272" s="515"/>
      <c r="CG272" s="515"/>
      <c r="CH272" s="515"/>
      <c r="CI272" s="515"/>
      <c r="CJ272" s="515"/>
      <c r="CK272" s="515"/>
      <c r="CL272" s="515"/>
      <c r="CM272" s="515"/>
      <c r="CN272" s="515"/>
      <c r="CO272" s="515"/>
      <c r="CP272" s="515"/>
      <c r="CQ272" s="515"/>
      <c r="CR272" s="515"/>
      <c r="CS272" s="515"/>
      <c r="CT272" s="515"/>
      <c r="CU272" s="515"/>
      <c r="CV272" s="515"/>
      <c r="CW272" s="515"/>
      <c r="CX272" s="515"/>
      <c r="CY272" s="515"/>
      <c r="CZ272" s="515"/>
      <c r="DA272" s="515"/>
      <c r="DB272" s="515"/>
      <c r="DC272" s="515"/>
      <c r="DD272" s="515"/>
      <c r="DE272" s="515"/>
      <c r="DF272" s="515"/>
      <c r="DG272" s="515"/>
      <c r="DH272" s="515"/>
      <c r="DI272" s="515"/>
      <c r="DJ272" s="515"/>
      <c r="DK272" s="515"/>
      <c r="DL272" s="515"/>
      <c r="DM272" s="515"/>
      <c r="DN272" s="515"/>
      <c r="DO272" s="515"/>
      <c r="DP272" s="515"/>
      <c r="DQ272" s="515"/>
      <c r="DR272" s="515"/>
      <c r="DS272" s="515"/>
      <c r="DT272" s="515"/>
      <c r="DU272" s="515"/>
      <c r="DV272" s="515"/>
      <c r="DW272" s="515"/>
      <c r="DX272" s="515"/>
      <c r="DY272" s="515"/>
      <c r="DZ272" s="515"/>
      <c r="EA272" s="515"/>
      <c r="EB272" s="515"/>
      <c r="EC272" s="515"/>
      <c r="ED272" s="515"/>
      <c r="EE272" s="515"/>
      <c r="EF272" s="515"/>
      <c r="EG272" s="515"/>
      <c r="EH272" s="515"/>
      <c r="EI272" s="515"/>
      <c r="EJ272" s="515"/>
      <c r="EK272" s="515"/>
      <c r="EL272" s="515"/>
      <c r="EM272" s="515"/>
      <c r="EN272" s="515"/>
      <c r="EO272" s="515"/>
      <c r="EP272" s="515"/>
      <c r="EQ272" s="515"/>
      <c r="ER272" s="515"/>
      <c r="ES272" s="515"/>
      <c r="ET272" s="515"/>
      <c r="EU272" s="515"/>
      <c r="EV272" s="515"/>
      <c r="EW272" s="515"/>
      <c r="EX272" s="515"/>
      <c r="EY272" s="515"/>
      <c r="EZ272" s="515"/>
      <c r="FA272" s="515"/>
      <c r="FB272" s="515"/>
      <c r="FC272" s="515"/>
      <c r="FD272" s="515"/>
      <c r="FE272" s="515"/>
      <c r="FF272" s="515"/>
      <c r="FG272" s="515"/>
      <c r="FH272" s="515"/>
      <c r="FI272" s="515"/>
      <c r="FJ272" s="515"/>
      <c r="FK272" s="515"/>
      <c r="FL272" s="515"/>
      <c r="FM272" s="515"/>
      <c r="FN272" s="515"/>
      <c r="FO272" s="515"/>
      <c r="FP272" s="515"/>
      <c r="FQ272" s="515"/>
      <c r="FR272" s="515"/>
      <c r="FS272" s="515"/>
      <c r="FT272" s="515"/>
      <c r="FU272" s="515"/>
      <c r="FV272" s="515"/>
      <c r="FW272" s="515"/>
      <c r="FX272" s="515"/>
      <c r="FY272" s="515"/>
      <c r="FZ272" s="515"/>
      <c r="GA272" s="515"/>
      <c r="GB272" s="515"/>
      <c r="GC272" s="515"/>
      <c r="GD272" s="515"/>
      <c r="GE272" s="515"/>
      <c r="GF272" s="515"/>
      <c r="GG272" s="515"/>
      <c r="GH272" s="515"/>
      <c r="GI272" s="515"/>
      <c r="GJ272" s="515"/>
      <c r="GK272" s="515"/>
      <c r="GL272" s="515"/>
      <c r="GM272" s="515"/>
      <c r="GN272" s="515"/>
    </row>
    <row r="273" spans="1:196" ht="30" customHeight="1" collapsed="1" x14ac:dyDescent="0.25">
      <c r="C273" s="923">
        <v>303133</v>
      </c>
      <c r="D273" s="923">
        <f>C273-G273</f>
        <v>-0.17075000004842877</v>
      </c>
      <c r="E273" s="151" t="s">
        <v>689</v>
      </c>
      <c r="F273" s="145" t="s">
        <v>634</v>
      </c>
      <c r="G273" s="302">
        <v>303133.17075000005</v>
      </c>
      <c r="H273" s="302">
        <v>320340.88834260002</v>
      </c>
      <c r="I273" s="132">
        <f t="shared" si="30"/>
        <v>17207.717592599976</v>
      </c>
      <c r="J273" s="867">
        <f t="shared" si="31"/>
        <v>5.6766198004742682E-2</v>
      </c>
      <c r="K273" s="437"/>
      <c r="L273" s="224"/>
    </row>
    <row r="274" spans="1:196" s="104" customFormat="1" ht="13.8" hidden="1" outlineLevel="1" x14ac:dyDescent="0.25">
      <c r="A274" s="810" t="s">
        <v>767</v>
      </c>
      <c r="B274" s="810" t="s">
        <v>228</v>
      </c>
      <c r="C274" s="923"/>
      <c r="D274" s="923"/>
      <c r="E274" s="159"/>
      <c r="F274" s="215" t="s">
        <v>228</v>
      </c>
      <c r="G274" s="304">
        <v>276633.17075000005</v>
      </c>
      <c r="H274" s="304">
        <v>297240.88834260002</v>
      </c>
      <c r="I274" s="153">
        <f t="shared" si="30"/>
        <v>20607.717592599976</v>
      </c>
      <c r="J274" s="878">
        <f t="shared" si="31"/>
        <v>7.4494745285711456E-2</v>
      </c>
      <c r="K274" s="218"/>
      <c r="L274" s="224"/>
      <c r="M274" s="107"/>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row>
    <row r="275" spans="1:196" s="104" customFormat="1" ht="13.8" hidden="1" outlineLevel="1" x14ac:dyDescent="0.25">
      <c r="A275" s="810" t="s">
        <v>767</v>
      </c>
      <c r="B275" s="810" t="s">
        <v>554</v>
      </c>
      <c r="C275" s="923"/>
      <c r="D275" s="923"/>
      <c r="E275" s="214"/>
      <c r="F275" s="160" t="s">
        <v>198</v>
      </c>
      <c r="G275" s="304">
        <v>19748</v>
      </c>
      <c r="H275" s="304">
        <v>22600</v>
      </c>
      <c r="I275" s="153">
        <f t="shared" si="30"/>
        <v>2852</v>
      </c>
      <c r="J275" s="878">
        <f t="shared" si="31"/>
        <v>0.14441968806967795</v>
      </c>
      <c r="K275" s="218"/>
      <c r="L275" s="224"/>
      <c r="M275" s="107"/>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row>
    <row r="276" spans="1:196" s="104" customFormat="1" ht="13.8" hidden="1" outlineLevel="1" x14ac:dyDescent="0.25">
      <c r="A276" s="810" t="s">
        <v>767</v>
      </c>
      <c r="B276" s="810" t="s">
        <v>556</v>
      </c>
      <c r="C276" s="923"/>
      <c r="D276" s="923"/>
      <c r="E276" s="159"/>
      <c r="F276" s="160" t="s">
        <v>197</v>
      </c>
      <c r="G276" s="304">
        <v>6752</v>
      </c>
      <c r="H276" s="304">
        <v>500</v>
      </c>
      <c r="I276" s="153">
        <f t="shared" si="30"/>
        <v>-6252</v>
      </c>
      <c r="J276" s="878">
        <f t="shared" si="31"/>
        <v>-0.92594786729857825</v>
      </c>
      <c r="K276" s="218"/>
      <c r="L276" s="224"/>
      <c r="M276" s="107"/>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row>
    <row r="277" spans="1:196" s="525" customFormat="1" ht="13.8" hidden="1" outlineLevel="1" x14ac:dyDescent="0.25">
      <c r="A277" s="1415" t="s">
        <v>768</v>
      </c>
      <c r="B277" s="1415" t="s">
        <v>182</v>
      </c>
      <c r="C277" s="1416">
        <v>46998</v>
      </c>
      <c r="D277" s="1416">
        <f>C277-G277</f>
        <v>0</v>
      </c>
      <c r="E277" s="523"/>
      <c r="F277" s="520" t="s">
        <v>167</v>
      </c>
      <c r="G277" s="301">
        <v>46998</v>
      </c>
      <c r="H277" s="505">
        <v>75547.298240000004</v>
      </c>
      <c r="I277" s="510">
        <f>H277-G277</f>
        <v>28549.298240000004</v>
      </c>
      <c r="J277" s="876">
        <f t="shared" si="31"/>
        <v>0.607457726711775</v>
      </c>
      <c r="K277" s="1458"/>
      <c r="L277" s="1417"/>
      <c r="M277" s="1122"/>
      <c r="N277" s="515"/>
      <c r="O277" s="515"/>
      <c r="P277" s="515"/>
      <c r="Q277" s="515"/>
      <c r="R277" s="515"/>
      <c r="S277" s="515"/>
      <c r="T277" s="515"/>
      <c r="U277" s="515"/>
      <c r="V277" s="515"/>
      <c r="W277" s="515"/>
      <c r="X277" s="515"/>
      <c r="Y277" s="515"/>
      <c r="Z277" s="515"/>
      <c r="AA277" s="515"/>
      <c r="AB277" s="515"/>
      <c r="AC277" s="515"/>
      <c r="AD277" s="515"/>
      <c r="AE277" s="515"/>
      <c r="AF277" s="515"/>
      <c r="AG277" s="515"/>
      <c r="AH277" s="515"/>
      <c r="AI277" s="515"/>
      <c r="AJ277" s="515"/>
      <c r="AK277" s="515"/>
      <c r="AL277" s="515"/>
      <c r="AM277" s="515"/>
      <c r="AN277" s="515"/>
      <c r="AO277" s="515"/>
      <c r="AP277" s="515"/>
      <c r="AQ277" s="515"/>
      <c r="AR277" s="515"/>
      <c r="AS277" s="515"/>
      <c r="AT277" s="515"/>
      <c r="AU277" s="515"/>
      <c r="AV277" s="515"/>
      <c r="AW277" s="515"/>
      <c r="AX277" s="515"/>
      <c r="AY277" s="515"/>
      <c r="AZ277" s="515"/>
      <c r="BA277" s="515"/>
      <c r="BB277" s="515"/>
      <c r="BC277" s="515"/>
      <c r="BD277" s="515"/>
      <c r="BE277" s="515"/>
      <c r="BF277" s="515"/>
      <c r="BG277" s="515"/>
      <c r="BH277" s="515"/>
      <c r="BI277" s="515"/>
      <c r="BJ277" s="515"/>
      <c r="BK277" s="515"/>
      <c r="BL277" s="515"/>
      <c r="BM277" s="515"/>
      <c r="BN277" s="515"/>
      <c r="BO277" s="515"/>
      <c r="BP277" s="515"/>
      <c r="BQ277" s="515"/>
      <c r="BR277" s="515"/>
      <c r="BS277" s="515"/>
      <c r="BT277" s="515"/>
      <c r="BU277" s="515"/>
      <c r="BV277" s="515"/>
      <c r="BW277" s="515"/>
      <c r="BX277" s="515"/>
      <c r="BY277" s="515"/>
      <c r="BZ277" s="515"/>
      <c r="CA277" s="515"/>
      <c r="CB277" s="515"/>
      <c r="CC277" s="515"/>
      <c r="CD277" s="515"/>
      <c r="CE277" s="515"/>
      <c r="CF277" s="515"/>
      <c r="CG277" s="515"/>
      <c r="CH277" s="515"/>
      <c r="CI277" s="515"/>
      <c r="CJ277" s="515"/>
      <c r="CK277" s="515"/>
      <c r="CL277" s="515"/>
      <c r="CM277" s="515"/>
      <c r="CN277" s="515"/>
      <c r="CO277" s="515"/>
      <c r="CP277" s="515"/>
      <c r="CQ277" s="515"/>
      <c r="CR277" s="515"/>
      <c r="CS277" s="515"/>
      <c r="CT277" s="515"/>
      <c r="CU277" s="515"/>
      <c r="CV277" s="515"/>
      <c r="CW277" s="515"/>
      <c r="CX277" s="515"/>
      <c r="CY277" s="515"/>
      <c r="CZ277" s="515"/>
      <c r="DA277" s="515"/>
      <c r="DB277" s="515"/>
      <c r="DC277" s="515"/>
      <c r="DD277" s="515"/>
      <c r="DE277" s="515"/>
      <c r="DF277" s="515"/>
      <c r="DG277" s="515"/>
      <c r="DH277" s="515"/>
      <c r="DI277" s="515"/>
      <c r="DJ277" s="515"/>
      <c r="DK277" s="515"/>
      <c r="DL277" s="515"/>
      <c r="DM277" s="515"/>
      <c r="DN277" s="515"/>
      <c r="DO277" s="515"/>
      <c r="DP277" s="515"/>
      <c r="DQ277" s="515"/>
      <c r="DR277" s="515"/>
      <c r="DS277" s="515"/>
      <c r="DT277" s="515"/>
      <c r="DU277" s="515"/>
      <c r="DV277" s="515"/>
      <c r="DW277" s="515"/>
      <c r="DX277" s="515"/>
      <c r="DY277" s="515"/>
      <c r="DZ277" s="515"/>
      <c r="EA277" s="515"/>
      <c r="EB277" s="515"/>
      <c r="EC277" s="515"/>
      <c r="ED277" s="515"/>
      <c r="EE277" s="515"/>
      <c r="EF277" s="515"/>
      <c r="EG277" s="515"/>
      <c r="EH277" s="515"/>
      <c r="EI277" s="515"/>
      <c r="EJ277" s="515"/>
      <c r="EK277" s="515"/>
      <c r="EL277" s="515"/>
      <c r="EM277" s="515"/>
      <c r="EN277" s="515"/>
      <c r="EO277" s="515"/>
      <c r="EP277" s="515"/>
      <c r="EQ277" s="515"/>
      <c r="ER277" s="515"/>
      <c r="ES277" s="515"/>
      <c r="ET277" s="515"/>
      <c r="EU277" s="515"/>
      <c r="EV277" s="515"/>
      <c r="EW277" s="515"/>
      <c r="EX277" s="515"/>
      <c r="EY277" s="515"/>
      <c r="EZ277" s="515"/>
      <c r="FA277" s="515"/>
      <c r="FB277" s="515"/>
      <c r="FC277" s="515"/>
      <c r="FD277" s="515"/>
      <c r="FE277" s="515"/>
      <c r="FF277" s="515"/>
      <c r="FG277" s="515"/>
      <c r="FH277" s="515"/>
      <c r="FI277" s="515"/>
      <c r="FJ277" s="515"/>
      <c r="FK277" s="515"/>
      <c r="FL277" s="515"/>
      <c r="FM277" s="515"/>
      <c r="FN277" s="515"/>
      <c r="FO277" s="515"/>
      <c r="FP277" s="515"/>
      <c r="FQ277" s="515"/>
      <c r="FR277" s="515"/>
      <c r="FS277" s="515"/>
      <c r="FT277" s="515"/>
      <c r="FU277" s="515"/>
      <c r="FV277" s="515"/>
      <c r="FW277" s="515"/>
      <c r="FX277" s="515"/>
      <c r="FY277" s="515"/>
      <c r="FZ277" s="515"/>
      <c r="GA277" s="515"/>
      <c r="GB277" s="515"/>
      <c r="GC277" s="515"/>
      <c r="GD277" s="515"/>
      <c r="GE277" s="515"/>
      <c r="GF277" s="515"/>
      <c r="GG277" s="515"/>
      <c r="GH277" s="515"/>
      <c r="GI277" s="515"/>
      <c r="GJ277" s="515"/>
      <c r="GK277" s="515"/>
      <c r="GL277" s="515"/>
      <c r="GM277" s="515"/>
      <c r="GN277" s="515"/>
    </row>
    <row r="278" spans="1:196" s="525" customFormat="1" ht="13.8" hidden="1" outlineLevel="1" x14ac:dyDescent="0.25">
      <c r="A278" s="1415" t="s">
        <v>767</v>
      </c>
      <c r="B278" s="1415" t="s">
        <v>555</v>
      </c>
      <c r="C278" s="1416"/>
      <c r="D278" s="1416"/>
      <c r="E278" s="523"/>
      <c r="F278" s="520" t="s">
        <v>555</v>
      </c>
      <c r="G278" s="301">
        <v>0</v>
      </c>
      <c r="H278" s="505">
        <v>0</v>
      </c>
      <c r="I278" s="510">
        <f>H278-G278</f>
        <v>0</v>
      </c>
      <c r="J278" s="876" t="str">
        <f t="shared" si="31"/>
        <v>-</v>
      </c>
      <c r="K278" s="1458"/>
      <c r="L278" s="1417"/>
      <c r="M278" s="1122"/>
      <c r="N278" s="515"/>
      <c r="O278" s="515"/>
      <c r="P278" s="515"/>
      <c r="Q278" s="515"/>
      <c r="R278" s="515"/>
      <c r="S278" s="515"/>
      <c r="T278" s="515"/>
      <c r="U278" s="515"/>
      <c r="V278" s="515"/>
      <c r="W278" s="515"/>
      <c r="X278" s="515"/>
      <c r="Y278" s="515"/>
      <c r="Z278" s="515"/>
      <c r="AA278" s="515"/>
      <c r="AB278" s="515"/>
      <c r="AC278" s="515"/>
      <c r="AD278" s="515"/>
      <c r="AE278" s="515"/>
      <c r="AF278" s="515"/>
      <c r="AG278" s="515"/>
      <c r="AH278" s="515"/>
      <c r="AI278" s="515"/>
      <c r="AJ278" s="515"/>
      <c r="AK278" s="515"/>
      <c r="AL278" s="515"/>
      <c r="AM278" s="515"/>
      <c r="AN278" s="515"/>
      <c r="AO278" s="515"/>
      <c r="AP278" s="515"/>
      <c r="AQ278" s="515"/>
      <c r="AR278" s="515"/>
      <c r="AS278" s="515"/>
      <c r="AT278" s="515"/>
      <c r="AU278" s="515"/>
      <c r="AV278" s="515"/>
      <c r="AW278" s="515"/>
      <c r="AX278" s="515"/>
      <c r="AY278" s="515"/>
      <c r="AZ278" s="515"/>
      <c r="BA278" s="515"/>
      <c r="BB278" s="515"/>
      <c r="BC278" s="515"/>
      <c r="BD278" s="515"/>
      <c r="BE278" s="515"/>
      <c r="BF278" s="515"/>
      <c r="BG278" s="515"/>
      <c r="BH278" s="515"/>
      <c r="BI278" s="515"/>
      <c r="BJ278" s="515"/>
      <c r="BK278" s="515"/>
      <c r="BL278" s="515"/>
      <c r="BM278" s="515"/>
      <c r="BN278" s="515"/>
      <c r="BO278" s="515"/>
      <c r="BP278" s="515"/>
      <c r="BQ278" s="515"/>
      <c r="BR278" s="515"/>
      <c r="BS278" s="515"/>
      <c r="BT278" s="515"/>
      <c r="BU278" s="515"/>
      <c r="BV278" s="515"/>
      <c r="BW278" s="515"/>
      <c r="BX278" s="515"/>
      <c r="BY278" s="515"/>
      <c r="BZ278" s="515"/>
      <c r="CA278" s="515"/>
      <c r="CB278" s="515"/>
      <c r="CC278" s="515"/>
      <c r="CD278" s="515"/>
      <c r="CE278" s="515"/>
      <c r="CF278" s="515"/>
      <c r="CG278" s="515"/>
      <c r="CH278" s="515"/>
      <c r="CI278" s="515"/>
      <c r="CJ278" s="515"/>
      <c r="CK278" s="515"/>
      <c r="CL278" s="515"/>
      <c r="CM278" s="515"/>
      <c r="CN278" s="515"/>
      <c r="CO278" s="515"/>
      <c r="CP278" s="515"/>
      <c r="CQ278" s="515"/>
      <c r="CR278" s="515"/>
      <c r="CS278" s="515"/>
      <c r="CT278" s="515"/>
      <c r="CU278" s="515"/>
      <c r="CV278" s="515"/>
      <c r="CW278" s="515"/>
      <c r="CX278" s="515"/>
      <c r="CY278" s="515"/>
      <c r="CZ278" s="515"/>
      <c r="DA278" s="515"/>
      <c r="DB278" s="515"/>
      <c r="DC278" s="515"/>
      <c r="DD278" s="515"/>
      <c r="DE278" s="515"/>
      <c r="DF278" s="515"/>
      <c r="DG278" s="515"/>
      <c r="DH278" s="515"/>
      <c r="DI278" s="515"/>
      <c r="DJ278" s="515"/>
      <c r="DK278" s="515"/>
      <c r="DL278" s="515"/>
      <c r="DM278" s="515"/>
      <c r="DN278" s="515"/>
      <c r="DO278" s="515"/>
      <c r="DP278" s="515"/>
      <c r="DQ278" s="515"/>
      <c r="DR278" s="515"/>
      <c r="DS278" s="515"/>
      <c r="DT278" s="515"/>
      <c r="DU278" s="515"/>
      <c r="DV278" s="515"/>
      <c r="DW278" s="515"/>
      <c r="DX278" s="515"/>
      <c r="DY278" s="515"/>
      <c r="DZ278" s="515"/>
      <c r="EA278" s="515"/>
      <c r="EB278" s="515"/>
      <c r="EC278" s="515"/>
      <c r="ED278" s="515"/>
      <c r="EE278" s="515"/>
      <c r="EF278" s="515"/>
      <c r="EG278" s="515"/>
      <c r="EH278" s="515"/>
      <c r="EI278" s="515"/>
      <c r="EJ278" s="515"/>
      <c r="EK278" s="515"/>
      <c r="EL278" s="515"/>
      <c r="EM278" s="515"/>
      <c r="EN278" s="515"/>
      <c r="EO278" s="515"/>
      <c r="EP278" s="515"/>
      <c r="EQ278" s="515"/>
      <c r="ER278" s="515"/>
      <c r="ES278" s="515"/>
      <c r="ET278" s="515"/>
      <c r="EU278" s="515"/>
      <c r="EV278" s="515"/>
      <c r="EW278" s="515"/>
      <c r="EX278" s="515"/>
      <c r="EY278" s="515"/>
      <c r="EZ278" s="515"/>
      <c r="FA278" s="515"/>
      <c r="FB278" s="515"/>
      <c r="FC278" s="515"/>
      <c r="FD278" s="515"/>
      <c r="FE278" s="515"/>
      <c r="FF278" s="515"/>
      <c r="FG278" s="515"/>
      <c r="FH278" s="515"/>
      <c r="FI278" s="515"/>
      <c r="FJ278" s="515"/>
      <c r="FK278" s="515"/>
      <c r="FL278" s="515"/>
      <c r="FM278" s="515"/>
      <c r="FN278" s="515"/>
      <c r="FO278" s="515"/>
      <c r="FP278" s="515"/>
      <c r="FQ278" s="515"/>
      <c r="FR278" s="515"/>
      <c r="FS278" s="515"/>
      <c r="FT278" s="515"/>
      <c r="FU278" s="515"/>
      <c r="FV278" s="515"/>
      <c r="FW278" s="515"/>
      <c r="FX278" s="515"/>
      <c r="FY278" s="515"/>
      <c r="FZ278" s="515"/>
      <c r="GA278" s="515"/>
      <c r="GB278" s="515"/>
      <c r="GC278" s="515"/>
      <c r="GD278" s="515"/>
      <c r="GE278" s="515"/>
      <c r="GF278" s="515"/>
      <c r="GG278" s="515"/>
      <c r="GH278" s="515"/>
      <c r="GI278" s="515"/>
      <c r="GJ278" s="515"/>
      <c r="GK278" s="515"/>
      <c r="GL278" s="515"/>
      <c r="GM278" s="515"/>
      <c r="GN278" s="515"/>
    </row>
    <row r="279" spans="1:196" ht="13.8" collapsed="1" x14ac:dyDescent="0.25">
      <c r="E279" s="151" t="s">
        <v>690</v>
      </c>
      <c r="F279" s="145" t="s">
        <v>100</v>
      </c>
      <c r="G279" s="302">
        <v>2131972</v>
      </c>
      <c r="H279" s="302">
        <v>2056111</v>
      </c>
      <c r="I279" s="132">
        <f>H279-G279</f>
        <v>-75861</v>
      </c>
      <c r="J279" s="867">
        <f t="shared" si="31"/>
        <v>-3.5582549864632371E-2</v>
      </c>
      <c r="K279" s="220"/>
      <c r="L279" s="224"/>
    </row>
    <row r="280" spans="1:196" ht="13.8" hidden="1" outlineLevel="1" x14ac:dyDescent="0.25">
      <c r="A280" s="810" t="s">
        <v>784</v>
      </c>
      <c r="B280" s="810" t="s">
        <v>554</v>
      </c>
      <c r="C280" s="923">
        <f>541899-G281</f>
        <v>515572</v>
      </c>
      <c r="D280" s="923">
        <f>C280-G280</f>
        <v>0</v>
      </c>
      <c r="E280" s="149" t="s">
        <v>30</v>
      </c>
      <c r="F280" s="150" t="s">
        <v>101</v>
      </c>
      <c r="G280" s="304">
        <v>515572</v>
      </c>
      <c r="H280" s="304">
        <v>543319</v>
      </c>
      <c r="I280" s="122">
        <f>H280-G280</f>
        <v>27747</v>
      </c>
      <c r="J280" s="865">
        <f t="shared" si="31"/>
        <v>5.3817895463679176E-2</v>
      </c>
      <c r="K280" s="463"/>
      <c r="L280" s="224"/>
    </row>
    <row r="281" spans="1:196" s="525" customFormat="1" ht="13.8" hidden="1" outlineLevel="1" x14ac:dyDescent="0.25">
      <c r="A281" s="1415" t="s">
        <v>784</v>
      </c>
      <c r="B281" s="1415" t="s">
        <v>182</v>
      </c>
      <c r="C281" s="1416"/>
      <c r="D281" s="1416"/>
      <c r="E281" s="523"/>
      <c r="F281" s="520" t="s">
        <v>167</v>
      </c>
      <c r="G281" s="301">
        <v>26327</v>
      </c>
      <c r="H281" s="505">
        <v>81887.5</v>
      </c>
      <c r="I281" s="513">
        <f>H281-G281</f>
        <v>55560.5</v>
      </c>
      <c r="J281" s="892">
        <f t="shared" si="31"/>
        <v>2.1103999696129447</v>
      </c>
      <c r="K281" s="1458"/>
      <c r="L281" s="1417"/>
      <c r="M281" s="1122"/>
      <c r="N281" s="515"/>
      <c r="O281" s="515"/>
      <c r="P281" s="515"/>
      <c r="Q281" s="515"/>
      <c r="R281" s="515"/>
      <c r="S281" s="515"/>
      <c r="T281" s="515"/>
      <c r="U281" s="515"/>
      <c r="V281" s="515"/>
      <c r="W281" s="515"/>
      <c r="X281" s="515"/>
      <c r="Y281" s="515"/>
      <c r="Z281" s="515"/>
      <c r="AA281" s="515"/>
      <c r="AB281" s="515"/>
      <c r="AC281" s="515"/>
      <c r="AD281" s="515"/>
      <c r="AE281" s="515"/>
      <c r="AF281" s="515"/>
      <c r="AG281" s="515"/>
      <c r="AH281" s="515"/>
      <c r="AI281" s="515"/>
      <c r="AJ281" s="515"/>
      <c r="AK281" s="515"/>
      <c r="AL281" s="515"/>
      <c r="AM281" s="515"/>
      <c r="AN281" s="515"/>
      <c r="AO281" s="515"/>
      <c r="AP281" s="515"/>
      <c r="AQ281" s="515"/>
      <c r="AR281" s="515"/>
      <c r="AS281" s="515"/>
      <c r="AT281" s="515"/>
      <c r="AU281" s="515"/>
      <c r="AV281" s="515"/>
      <c r="AW281" s="515"/>
      <c r="AX281" s="515"/>
      <c r="AY281" s="515"/>
      <c r="AZ281" s="515"/>
      <c r="BA281" s="515"/>
      <c r="BB281" s="515"/>
      <c r="BC281" s="515"/>
      <c r="BD281" s="515"/>
      <c r="BE281" s="515"/>
      <c r="BF281" s="515"/>
      <c r="BG281" s="515"/>
      <c r="BH281" s="515"/>
      <c r="BI281" s="515"/>
      <c r="BJ281" s="515"/>
      <c r="BK281" s="515"/>
      <c r="BL281" s="515"/>
      <c r="BM281" s="515"/>
      <c r="BN281" s="515"/>
      <c r="BO281" s="515"/>
      <c r="BP281" s="515"/>
      <c r="BQ281" s="515"/>
      <c r="BR281" s="515"/>
      <c r="BS281" s="515"/>
      <c r="BT281" s="515"/>
      <c r="BU281" s="515"/>
      <c r="BV281" s="515"/>
      <c r="BW281" s="515"/>
      <c r="BX281" s="515"/>
      <c r="BY281" s="515"/>
      <c r="BZ281" s="515"/>
      <c r="CA281" s="515"/>
      <c r="CB281" s="515"/>
      <c r="CC281" s="515"/>
      <c r="CD281" s="515"/>
      <c r="CE281" s="515"/>
      <c r="CF281" s="515"/>
      <c r="CG281" s="515"/>
      <c r="CH281" s="515"/>
      <c r="CI281" s="515"/>
      <c r="CJ281" s="515"/>
      <c r="CK281" s="515"/>
      <c r="CL281" s="515"/>
      <c r="CM281" s="515"/>
      <c r="CN281" s="515"/>
      <c r="CO281" s="515"/>
      <c r="CP281" s="515"/>
      <c r="CQ281" s="515"/>
      <c r="CR281" s="515"/>
      <c r="CS281" s="515"/>
      <c r="CT281" s="515"/>
      <c r="CU281" s="515"/>
      <c r="CV281" s="515"/>
      <c r="CW281" s="515"/>
      <c r="CX281" s="515"/>
      <c r="CY281" s="515"/>
      <c r="CZ281" s="515"/>
      <c r="DA281" s="515"/>
      <c r="DB281" s="515"/>
      <c r="DC281" s="515"/>
      <c r="DD281" s="515"/>
      <c r="DE281" s="515"/>
      <c r="DF281" s="515"/>
      <c r="DG281" s="515"/>
      <c r="DH281" s="515"/>
      <c r="DI281" s="515"/>
      <c r="DJ281" s="515"/>
      <c r="DK281" s="515"/>
      <c r="DL281" s="515"/>
      <c r="DM281" s="515"/>
      <c r="DN281" s="515"/>
      <c r="DO281" s="515"/>
      <c r="DP281" s="515"/>
      <c r="DQ281" s="515"/>
      <c r="DR281" s="515"/>
      <c r="DS281" s="515"/>
      <c r="DT281" s="515"/>
      <c r="DU281" s="515"/>
      <c r="DV281" s="515"/>
      <c r="DW281" s="515"/>
      <c r="DX281" s="515"/>
      <c r="DY281" s="515"/>
      <c r="DZ281" s="515"/>
      <c r="EA281" s="515"/>
      <c r="EB281" s="515"/>
      <c r="EC281" s="515"/>
      <c r="ED281" s="515"/>
      <c r="EE281" s="515"/>
      <c r="EF281" s="515"/>
      <c r="EG281" s="515"/>
      <c r="EH281" s="515"/>
      <c r="EI281" s="515"/>
      <c r="EJ281" s="515"/>
      <c r="EK281" s="515"/>
      <c r="EL281" s="515"/>
      <c r="EM281" s="515"/>
      <c r="EN281" s="515"/>
      <c r="EO281" s="515"/>
      <c r="EP281" s="515"/>
      <c r="EQ281" s="515"/>
      <c r="ER281" s="515"/>
      <c r="ES281" s="515"/>
      <c r="ET281" s="515"/>
      <c r="EU281" s="515"/>
      <c r="EV281" s="515"/>
      <c r="EW281" s="515"/>
      <c r="EX281" s="515"/>
      <c r="EY281" s="515"/>
      <c r="EZ281" s="515"/>
      <c r="FA281" s="515"/>
      <c r="FB281" s="515"/>
      <c r="FC281" s="515"/>
      <c r="FD281" s="515"/>
      <c r="FE281" s="515"/>
      <c r="FF281" s="515"/>
      <c r="FG281" s="515"/>
      <c r="FH281" s="515"/>
      <c r="FI281" s="515"/>
      <c r="FJ281" s="515"/>
      <c r="FK281" s="515"/>
      <c r="FL281" s="515"/>
      <c r="FM281" s="515"/>
      <c r="FN281" s="515"/>
      <c r="FO281" s="515"/>
      <c r="FP281" s="515"/>
      <c r="FQ281" s="515"/>
      <c r="FR281" s="515"/>
      <c r="FS281" s="515"/>
      <c r="FT281" s="515"/>
      <c r="FU281" s="515"/>
      <c r="FV281" s="515"/>
      <c r="FW281" s="515"/>
      <c r="FX281" s="515"/>
      <c r="FY281" s="515"/>
      <c r="FZ281" s="515"/>
      <c r="GA281" s="515"/>
      <c r="GB281" s="515"/>
      <c r="GC281" s="515"/>
      <c r="GD281" s="515"/>
      <c r="GE281" s="515"/>
      <c r="GF281" s="515"/>
      <c r="GG281" s="515"/>
      <c r="GH281" s="515"/>
      <c r="GI281" s="515"/>
      <c r="GJ281" s="515"/>
      <c r="GK281" s="515"/>
      <c r="GL281" s="515"/>
      <c r="GM281" s="515"/>
      <c r="GN281" s="515"/>
    </row>
    <row r="282" spans="1:196" s="525" customFormat="1" ht="13.8" hidden="1" outlineLevel="1" x14ac:dyDescent="0.25">
      <c r="A282" s="1415" t="s">
        <v>784</v>
      </c>
      <c r="B282" s="1415" t="s">
        <v>555</v>
      </c>
      <c r="C282" s="1416"/>
      <c r="D282" s="1416"/>
      <c r="E282" s="1459"/>
      <c r="F282" s="520" t="s">
        <v>555</v>
      </c>
      <c r="G282" s="301">
        <v>0</v>
      </c>
      <c r="H282" s="505">
        <v>0</v>
      </c>
      <c r="I282" s="514"/>
      <c r="J282" s="1460" t="str">
        <f t="shared" si="31"/>
        <v>-</v>
      </c>
      <c r="K282" s="1461"/>
      <c r="L282" s="1417"/>
      <c r="M282" s="1122"/>
      <c r="N282" s="515"/>
      <c r="O282" s="515"/>
      <c r="P282" s="515"/>
      <c r="Q282" s="515"/>
      <c r="R282" s="515"/>
      <c r="S282" s="515"/>
      <c r="T282" s="515"/>
      <c r="U282" s="515"/>
      <c r="V282" s="515"/>
      <c r="W282" s="515"/>
      <c r="X282" s="515"/>
      <c r="Y282" s="515"/>
      <c r="Z282" s="515"/>
      <c r="AA282" s="515"/>
      <c r="AB282" s="515"/>
      <c r="AC282" s="515"/>
      <c r="AD282" s="515"/>
      <c r="AE282" s="515"/>
      <c r="AF282" s="515"/>
      <c r="AG282" s="515"/>
      <c r="AH282" s="515"/>
      <c r="AI282" s="515"/>
      <c r="AJ282" s="515"/>
      <c r="AK282" s="515"/>
      <c r="AL282" s="515"/>
      <c r="AM282" s="515"/>
      <c r="AN282" s="515"/>
      <c r="AO282" s="515"/>
      <c r="AP282" s="515"/>
      <c r="AQ282" s="515"/>
      <c r="AR282" s="515"/>
      <c r="AS282" s="515"/>
      <c r="AT282" s="515"/>
      <c r="AU282" s="515"/>
      <c r="AV282" s="515"/>
      <c r="AW282" s="515"/>
      <c r="AX282" s="515"/>
      <c r="AY282" s="515"/>
      <c r="AZ282" s="515"/>
      <c r="BA282" s="515"/>
      <c r="BB282" s="515"/>
      <c r="BC282" s="515"/>
      <c r="BD282" s="515"/>
      <c r="BE282" s="515"/>
      <c r="BF282" s="515"/>
      <c r="BG282" s="515"/>
      <c r="BH282" s="515"/>
      <c r="BI282" s="515"/>
      <c r="BJ282" s="515"/>
      <c r="BK282" s="515"/>
      <c r="BL282" s="515"/>
      <c r="BM282" s="515"/>
      <c r="BN282" s="515"/>
      <c r="BO282" s="515"/>
      <c r="BP282" s="515"/>
      <c r="BQ282" s="515"/>
      <c r="BR282" s="515"/>
      <c r="BS282" s="515"/>
      <c r="BT282" s="515"/>
      <c r="BU282" s="515"/>
      <c r="BV282" s="515"/>
      <c r="BW282" s="515"/>
      <c r="BX282" s="515"/>
      <c r="BY282" s="515"/>
      <c r="BZ282" s="515"/>
      <c r="CA282" s="515"/>
      <c r="CB282" s="515"/>
      <c r="CC282" s="515"/>
      <c r="CD282" s="515"/>
      <c r="CE282" s="515"/>
      <c r="CF282" s="515"/>
      <c r="CG282" s="515"/>
      <c r="CH282" s="515"/>
      <c r="CI282" s="515"/>
      <c r="CJ282" s="515"/>
      <c r="CK282" s="515"/>
      <c r="CL282" s="515"/>
      <c r="CM282" s="515"/>
      <c r="CN282" s="515"/>
      <c r="CO282" s="515"/>
      <c r="CP282" s="515"/>
      <c r="CQ282" s="515"/>
      <c r="CR282" s="515"/>
      <c r="CS282" s="515"/>
      <c r="CT282" s="515"/>
      <c r="CU282" s="515"/>
      <c r="CV282" s="515"/>
      <c r="CW282" s="515"/>
      <c r="CX282" s="515"/>
      <c r="CY282" s="515"/>
      <c r="CZ282" s="515"/>
      <c r="DA282" s="515"/>
      <c r="DB282" s="515"/>
      <c r="DC282" s="515"/>
      <c r="DD282" s="515"/>
      <c r="DE282" s="515"/>
      <c r="DF282" s="515"/>
      <c r="DG282" s="515"/>
      <c r="DH282" s="515"/>
      <c r="DI282" s="515"/>
      <c r="DJ282" s="515"/>
      <c r="DK282" s="515"/>
      <c r="DL282" s="515"/>
      <c r="DM282" s="515"/>
      <c r="DN282" s="515"/>
      <c r="DO282" s="515"/>
      <c r="DP282" s="515"/>
      <c r="DQ282" s="515"/>
      <c r="DR282" s="515"/>
      <c r="DS282" s="515"/>
      <c r="DT282" s="515"/>
      <c r="DU282" s="515"/>
      <c r="DV282" s="515"/>
      <c r="DW282" s="515"/>
      <c r="DX282" s="515"/>
      <c r="DY282" s="515"/>
      <c r="DZ282" s="515"/>
      <c r="EA282" s="515"/>
      <c r="EB282" s="515"/>
      <c r="EC282" s="515"/>
      <c r="ED282" s="515"/>
      <c r="EE282" s="515"/>
      <c r="EF282" s="515"/>
      <c r="EG282" s="515"/>
      <c r="EH282" s="515"/>
      <c r="EI282" s="515"/>
      <c r="EJ282" s="515"/>
      <c r="EK282" s="515"/>
      <c r="EL282" s="515"/>
      <c r="EM282" s="515"/>
      <c r="EN282" s="515"/>
      <c r="EO282" s="515"/>
      <c r="EP282" s="515"/>
      <c r="EQ282" s="515"/>
      <c r="ER282" s="515"/>
      <c r="ES282" s="515"/>
      <c r="ET282" s="515"/>
      <c r="EU282" s="515"/>
      <c r="EV282" s="515"/>
      <c r="EW282" s="515"/>
      <c r="EX282" s="515"/>
      <c r="EY282" s="515"/>
      <c r="EZ282" s="515"/>
      <c r="FA282" s="515"/>
      <c r="FB282" s="515"/>
      <c r="FC282" s="515"/>
      <c r="FD282" s="515"/>
      <c r="FE282" s="515"/>
      <c r="FF282" s="515"/>
      <c r="FG282" s="515"/>
      <c r="FH282" s="515"/>
      <c r="FI282" s="515"/>
      <c r="FJ282" s="515"/>
      <c r="FK282" s="515"/>
      <c r="FL282" s="515"/>
      <c r="FM282" s="515"/>
      <c r="FN282" s="515"/>
      <c r="FO282" s="515"/>
      <c r="FP282" s="515"/>
      <c r="FQ282" s="515"/>
      <c r="FR282" s="515"/>
      <c r="FS282" s="515"/>
      <c r="FT282" s="515"/>
      <c r="FU282" s="515"/>
      <c r="FV282" s="515"/>
      <c r="FW282" s="515"/>
      <c r="FX282" s="515"/>
      <c r="FY282" s="515"/>
      <c r="FZ282" s="515"/>
      <c r="GA282" s="515"/>
      <c r="GB282" s="515"/>
      <c r="GC282" s="515"/>
      <c r="GD282" s="515"/>
      <c r="GE282" s="515"/>
      <c r="GF282" s="515"/>
      <c r="GG282" s="515"/>
      <c r="GH282" s="515"/>
      <c r="GI282" s="515"/>
      <c r="GJ282" s="515"/>
      <c r="GK282" s="515"/>
      <c r="GL282" s="515"/>
      <c r="GM282" s="515"/>
      <c r="GN282" s="515"/>
    </row>
    <row r="283" spans="1:196" ht="27.6" hidden="1" outlineLevel="1" x14ac:dyDescent="0.25">
      <c r="A283" s="810" t="s">
        <v>1169</v>
      </c>
      <c r="B283" s="810" t="s">
        <v>554</v>
      </c>
      <c r="C283" s="923">
        <v>205200</v>
      </c>
      <c r="D283" s="923">
        <f t="shared" ref="D283:D284" si="36">C283-G283</f>
        <v>0</v>
      </c>
      <c r="E283" s="147" t="s">
        <v>31</v>
      </c>
      <c r="F283" s="150" t="s">
        <v>324</v>
      </c>
      <c r="G283" s="307">
        <v>205200</v>
      </c>
      <c r="H283" s="307">
        <v>135000</v>
      </c>
      <c r="I283" s="1505">
        <f>(H283+H284)-(G283+G284)</f>
        <v>-103608</v>
      </c>
      <c r="J283" s="1507" t="s">
        <v>105</v>
      </c>
      <c r="K283" s="321" t="s">
        <v>1651</v>
      </c>
      <c r="L283" s="224"/>
    </row>
    <row r="284" spans="1:196" ht="13.8" hidden="1" outlineLevel="1" x14ac:dyDescent="0.25">
      <c r="A284" s="810" t="s">
        <v>1170</v>
      </c>
      <c r="B284" s="810" t="s">
        <v>554</v>
      </c>
      <c r="C284" s="923">
        <v>1411200</v>
      </c>
      <c r="D284" s="923">
        <f t="shared" si="36"/>
        <v>0</v>
      </c>
      <c r="E284" s="147" t="s">
        <v>96</v>
      </c>
      <c r="F284" s="137" t="s">
        <v>102</v>
      </c>
      <c r="G284" s="307">
        <v>1411200</v>
      </c>
      <c r="H284" s="307">
        <v>1377792</v>
      </c>
      <c r="I284" s="1506"/>
      <c r="J284" s="1508"/>
      <c r="K284" s="321"/>
      <c r="L284" s="224"/>
    </row>
    <row r="285" spans="1:196" s="408" customFormat="1" ht="13.8" hidden="1" outlineLevel="1" x14ac:dyDescent="0.25">
      <c r="A285" s="1101"/>
      <c r="B285" s="1101"/>
      <c r="C285" s="1102"/>
      <c r="D285" s="1102"/>
      <c r="E285" s="1462" t="s">
        <v>288</v>
      </c>
      <c r="F285" s="520" t="s">
        <v>555</v>
      </c>
      <c r="G285" s="303"/>
      <c r="H285" s="511"/>
      <c r="I285" s="1463"/>
      <c r="J285" s="1464" t="str">
        <f t="shared" ref="J285:J331" si="37">IFERROR(I285/G285,"-")</f>
        <v>-</v>
      </c>
      <c r="K285" s="1465"/>
      <c r="L285" s="507"/>
      <c r="M285" s="409"/>
    </row>
    <row r="286" spans="1:196" ht="13.8" collapsed="1" x14ac:dyDescent="0.25">
      <c r="C286" s="923">
        <f>663634-G291</f>
        <v>662098</v>
      </c>
      <c r="D286" s="923">
        <f>C286-G286</f>
        <v>0</v>
      </c>
      <c r="E286" s="151" t="s">
        <v>691</v>
      </c>
      <c r="F286" s="145" t="s">
        <v>313</v>
      </c>
      <c r="G286" s="302">
        <v>662098</v>
      </c>
      <c r="H286" s="302">
        <v>835367.24456400005</v>
      </c>
      <c r="I286" s="132">
        <f t="shared" ref="I286:I330" si="38">H286-G286</f>
        <v>173269.24456400005</v>
      </c>
      <c r="J286" s="867">
        <f t="shared" si="37"/>
        <v>0.2616972782941499</v>
      </c>
      <c r="K286" s="220"/>
      <c r="L286" s="224"/>
    </row>
    <row r="287" spans="1:196" s="104" customFormat="1" ht="13.8" hidden="1" outlineLevel="1" x14ac:dyDescent="0.25">
      <c r="A287" s="810" t="s">
        <v>1171</v>
      </c>
      <c r="B287" s="810" t="s">
        <v>228</v>
      </c>
      <c r="C287" s="923"/>
      <c r="D287" s="923"/>
      <c r="E287" s="159"/>
      <c r="F287" s="215" t="s">
        <v>228</v>
      </c>
      <c r="G287" s="304">
        <v>249413</v>
      </c>
      <c r="H287" s="304">
        <v>342418.40456400003</v>
      </c>
      <c r="I287" s="122">
        <f t="shared" si="38"/>
        <v>93005.404564000026</v>
      </c>
      <c r="J287" s="865">
        <f t="shared" si="37"/>
        <v>0.37289718083660445</v>
      </c>
      <c r="K287" s="218"/>
      <c r="L287" s="224"/>
      <c r="M287" s="10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row>
    <row r="288" spans="1:196" s="104" customFormat="1" ht="69" hidden="1" outlineLevel="1" x14ac:dyDescent="0.25">
      <c r="A288" s="810" t="s">
        <v>1171</v>
      </c>
      <c r="B288" s="810" t="s">
        <v>554</v>
      </c>
      <c r="C288" s="923"/>
      <c r="D288" s="923"/>
      <c r="E288" s="214"/>
      <c r="F288" s="160" t="s">
        <v>198</v>
      </c>
      <c r="G288" s="304">
        <v>405178</v>
      </c>
      <c r="H288" s="304">
        <v>492098.83999999997</v>
      </c>
      <c r="I288" s="153">
        <f t="shared" si="38"/>
        <v>86920.839999999967</v>
      </c>
      <c r="J288" s="878">
        <f t="shared" si="37"/>
        <v>0.21452507293090931</v>
      </c>
      <c r="K288" s="455" t="s">
        <v>1652</v>
      </c>
      <c r="L288" s="224"/>
      <c r="M288" s="107"/>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row>
    <row r="289" spans="1:196" s="104" customFormat="1" ht="13.8" hidden="1" outlineLevel="1" x14ac:dyDescent="0.25">
      <c r="A289" s="810" t="s">
        <v>1171</v>
      </c>
      <c r="B289" s="810" t="s">
        <v>556</v>
      </c>
      <c r="C289" s="923"/>
      <c r="D289" s="923"/>
      <c r="E289" s="159"/>
      <c r="F289" s="160" t="s">
        <v>197</v>
      </c>
      <c r="G289" s="304">
        <v>7507</v>
      </c>
      <c r="H289" s="304">
        <v>850</v>
      </c>
      <c r="I289" s="153">
        <f t="shared" si="38"/>
        <v>-6657</v>
      </c>
      <c r="J289" s="878">
        <f t="shared" si="37"/>
        <v>-0.88677234581057685</v>
      </c>
      <c r="K289" s="457"/>
      <c r="L289" s="224"/>
      <c r="M289" s="107"/>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row>
    <row r="290" spans="1:196" s="525" customFormat="1" ht="13.8" hidden="1" outlineLevel="1" x14ac:dyDescent="0.25">
      <c r="A290" s="1415" t="s">
        <v>1171</v>
      </c>
      <c r="B290" s="1415" t="s">
        <v>182</v>
      </c>
      <c r="C290" s="1416">
        <v>111082</v>
      </c>
      <c r="D290" s="1416">
        <f>C290-G290</f>
        <v>0</v>
      </c>
      <c r="E290" s="523"/>
      <c r="F290" s="520" t="s">
        <v>167</v>
      </c>
      <c r="G290" s="301">
        <v>111082</v>
      </c>
      <c r="H290" s="505">
        <v>173757.8</v>
      </c>
      <c r="I290" s="510">
        <f t="shared" si="38"/>
        <v>62675.799999999988</v>
      </c>
      <c r="J290" s="876">
        <f t="shared" si="37"/>
        <v>0.56423002826740598</v>
      </c>
      <c r="K290" s="1458"/>
      <c r="L290" s="1417"/>
      <c r="M290" s="1122"/>
      <c r="N290" s="515"/>
      <c r="O290" s="515"/>
      <c r="P290" s="515"/>
      <c r="Q290" s="515"/>
      <c r="R290" s="515"/>
      <c r="S290" s="515"/>
      <c r="T290" s="515"/>
      <c r="U290" s="515"/>
      <c r="V290" s="515"/>
      <c r="W290" s="515"/>
      <c r="X290" s="515"/>
      <c r="Y290" s="515"/>
      <c r="Z290" s="515"/>
      <c r="AA290" s="515"/>
      <c r="AB290" s="515"/>
      <c r="AC290" s="515"/>
      <c r="AD290" s="515"/>
      <c r="AE290" s="515"/>
      <c r="AF290" s="515"/>
      <c r="AG290" s="515"/>
      <c r="AH290" s="515"/>
      <c r="AI290" s="515"/>
      <c r="AJ290" s="515"/>
      <c r="AK290" s="515"/>
      <c r="AL290" s="515"/>
      <c r="AM290" s="515"/>
      <c r="AN290" s="515"/>
      <c r="AO290" s="515"/>
      <c r="AP290" s="515"/>
      <c r="AQ290" s="515"/>
      <c r="AR290" s="515"/>
      <c r="AS290" s="515"/>
      <c r="AT290" s="515"/>
      <c r="AU290" s="515"/>
      <c r="AV290" s="515"/>
      <c r="AW290" s="515"/>
      <c r="AX290" s="515"/>
      <c r="AY290" s="515"/>
      <c r="AZ290" s="515"/>
      <c r="BA290" s="515"/>
      <c r="BB290" s="515"/>
      <c r="BC290" s="515"/>
      <c r="BD290" s="515"/>
      <c r="BE290" s="515"/>
      <c r="BF290" s="515"/>
      <c r="BG290" s="515"/>
      <c r="BH290" s="515"/>
      <c r="BI290" s="515"/>
      <c r="BJ290" s="515"/>
      <c r="BK290" s="515"/>
      <c r="BL290" s="515"/>
      <c r="BM290" s="515"/>
      <c r="BN290" s="515"/>
      <c r="BO290" s="515"/>
      <c r="BP290" s="515"/>
      <c r="BQ290" s="515"/>
      <c r="BR290" s="515"/>
      <c r="BS290" s="515"/>
      <c r="BT290" s="515"/>
      <c r="BU290" s="515"/>
      <c r="BV290" s="515"/>
      <c r="BW290" s="515"/>
      <c r="BX290" s="515"/>
      <c r="BY290" s="515"/>
      <c r="BZ290" s="515"/>
      <c r="CA290" s="515"/>
      <c r="CB290" s="515"/>
      <c r="CC290" s="515"/>
      <c r="CD290" s="515"/>
      <c r="CE290" s="515"/>
      <c r="CF290" s="515"/>
      <c r="CG290" s="515"/>
      <c r="CH290" s="515"/>
      <c r="CI290" s="515"/>
      <c r="CJ290" s="515"/>
      <c r="CK290" s="515"/>
      <c r="CL290" s="515"/>
      <c r="CM290" s="515"/>
      <c r="CN290" s="515"/>
      <c r="CO290" s="515"/>
      <c r="CP290" s="515"/>
      <c r="CQ290" s="515"/>
      <c r="CR290" s="515"/>
      <c r="CS290" s="515"/>
      <c r="CT290" s="515"/>
      <c r="CU290" s="515"/>
      <c r="CV290" s="515"/>
      <c r="CW290" s="515"/>
      <c r="CX290" s="515"/>
      <c r="CY290" s="515"/>
      <c r="CZ290" s="515"/>
      <c r="DA290" s="515"/>
      <c r="DB290" s="515"/>
      <c r="DC290" s="515"/>
      <c r="DD290" s="515"/>
      <c r="DE290" s="515"/>
      <c r="DF290" s="515"/>
      <c r="DG290" s="515"/>
      <c r="DH290" s="515"/>
      <c r="DI290" s="515"/>
      <c r="DJ290" s="515"/>
      <c r="DK290" s="515"/>
      <c r="DL290" s="515"/>
      <c r="DM290" s="515"/>
      <c r="DN290" s="515"/>
      <c r="DO290" s="515"/>
      <c r="DP290" s="515"/>
      <c r="DQ290" s="515"/>
      <c r="DR290" s="515"/>
      <c r="DS290" s="515"/>
      <c r="DT290" s="515"/>
      <c r="DU290" s="515"/>
      <c r="DV290" s="515"/>
      <c r="DW290" s="515"/>
      <c r="DX290" s="515"/>
      <c r="DY290" s="515"/>
      <c r="DZ290" s="515"/>
      <c r="EA290" s="515"/>
      <c r="EB290" s="515"/>
      <c r="EC290" s="515"/>
      <c r="ED290" s="515"/>
      <c r="EE290" s="515"/>
      <c r="EF290" s="515"/>
      <c r="EG290" s="515"/>
      <c r="EH290" s="515"/>
      <c r="EI290" s="515"/>
      <c r="EJ290" s="515"/>
      <c r="EK290" s="515"/>
      <c r="EL290" s="515"/>
      <c r="EM290" s="515"/>
      <c r="EN290" s="515"/>
      <c r="EO290" s="515"/>
      <c r="EP290" s="515"/>
      <c r="EQ290" s="515"/>
      <c r="ER290" s="515"/>
      <c r="ES290" s="515"/>
      <c r="ET290" s="515"/>
      <c r="EU290" s="515"/>
      <c r="EV290" s="515"/>
      <c r="EW290" s="515"/>
      <c r="EX290" s="515"/>
      <c r="EY290" s="515"/>
      <c r="EZ290" s="515"/>
      <c r="FA290" s="515"/>
      <c r="FB290" s="515"/>
      <c r="FC290" s="515"/>
      <c r="FD290" s="515"/>
      <c r="FE290" s="515"/>
      <c r="FF290" s="515"/>
      <c r="FG290" s="515"/>
      <c r="FH290" s="515"/>
      <c r="FI290" s="515"/>
      <c r="FJ290" s="515"/>
      <c r="FK290" s="515"/>
      <c r="FL290" s="515"/>
      <c r="FM290" s="515"/>
      <c r="FN290" s="515"/>
      <c r="FO290" s="515"/>
      <c r="FP290" s="515"/>
      <c r="FQ290" s="515"/>
      <c r="FR290" s="515"/>
      <c r="FS290" s="515"/>
      <c r="FT290" s="515"/>
      <c r="FU290" s="515"/>
      <c r="FV290" s="515"/>
      <c r="FW290" s="515"/>
      <c r="FX290" s="515"/>
      <c r="FY290" s="515"/>
      <c r="FZ290" s="515"/>
      <c r="GA290" s="515"/>
      <c r="GB290" s="515"/>
      <c r="GC290" s="515"/>
      <c r="GD290" s="515"/>
      <c r="GE290" s="515"/>
      <c r="GF290" s="515"/>
      <c r="GG290" s="515"/>
      <c r="GH290" s="515"/>
      <c r="GI290" s="515"/>
      <c r="GJ290" s="515"/>
      <c r="GK290" s="515"/>
      <c r="GL290" s="515"/>
      <c r="GM290" s="515"/>
      <c r="GN290" s="515"/>
    </row>
    <row r="291" spans="1:196" s="525" customFormat="1" ht="13.8" hidden="1" outlineLevel="1" x14ac:dyDescent="0.25">
      <c r="A291" s="1415" t="s">
        <v>1171</v>
      </c>
      <c r="B291" s="1415" t="s">
        <v>555</v>
      </c>
      <c r="C291" s="1416"/>
      <c r="D291" s="1416"/>
      <c r="E291" s="523"/>
      <c r="F291" s="520" t="s">
        <v>555</v>
      </c>
      <c r="G291" s="301">
        <v>1536</v>
      </c>
      <c r="H291" s="505">
        <v>4500</v>
      </c>
      <c r="I291" s="510">
        <f>H291-G291</f>
        <v>2964</v>
      </c>
      <c r="J291" s="876">
        <f t="shared" si="37"/>
        <v>1.9296875</v>
      </c>
      <c r="K291" s="1458"/>
      <c r="L291" s="1417"/>
      <c r="M291" s="1122"/>
      <c r="N291" s="515"/>
      <c r="O291" s="515"/>
      <c r="P291" s="515"/>
      <c r="Q291" s="515"/>
      <c r="R291" s="515"/>
      <c r="S291" s="515"/>
      <c r="T291" s="515"/>
      <c r="U291" s="515"/>
      <c r="V291" s="515"/>
      <c r="W291" s="515"/>
      <c r="X291" s="515"/>
      <c r="Y291" s="515"/>
      <c r="Z291" s="515"/>
      <c r="AA291" s="515"/>
      <c r="AB291" s="515"/>
      <c r="AC291" s="515"/>
      <c r="AD291" s="515"/>
      <c r="AE291" s="515"/>
      <c r="AF291" s="515"/>
      <c r="AG291" s="515"/>
      <c r="AH291" s="515"/>
      <c r="AI291" s="515"/>
      <c r="AJ291" s="515"/>
      <c r="AK291" s="515"/>
      <c r="AL291" s="515"/>
      <c r="AM291" s="515"/>
      <c r="AN291" s="515"/>
      <c r="AO291" s="515"/>
      <c r="AP291" s="515"/>
      <c r="AQ291" s="515"/>
      <c r="AR291" s="515"/>
      <c r="AS291" s="515"/>
      <c r="AT291" s="515"/>
      <c r="AU291" s="515"/>
      <c r="AV291" s="515"/>
      <c r="AW291" s="515"/>
      <c r="AX291" s="515"/>
      <c r="AY291" s="515"/>
      <c r="AZ291" s="515"/>
      <c r="BA291" s="515"/>
      <c r="BB291" s="515"/>
      <c r="BC291" s="515"/>
      <c r="BD291" s="515"/>
      <c r="BE291" s="515"/>
      <c r="BF291" s="515"/>
      <c r="BG291" s="515"/>
      <c r="BH291" s="515"/>
      <c r="BI291" s="515"/>
      <c r="BJ291" s="515"/>
      <c r="BK291" s="515"/>
      <c r="BL291" s="515"/>
      <c r="BM291" s="515"/>
      <c r="BN291" s="515"/>
      <c r="BO291" s="515"/>
      <c r="BP291" s="515"/>
      <c r="BQ291" s="515"/>
      <c r="BR291" s="515"/>
      <c r="BS291" s="515"/>
      <c r="BT291" s="515"/>
      <c r="BU291" s="515"/>
      <c r="BV291" s="515"/>
      <c r="BW291" s="515"/>
      <c r="BX291" s="515"/>
      <c r="BY291" s="515"/>
      <c r="BZ291" s="515"/>
      <c r="CA291" s="515"/>
      <c r="CB291" s="515"/>
      <c r="CC291" s="515"/>
      <c r="CD291" s="515"/>
      <c r="CE291" s="515"/>
      <c r="CF291" s="515"/>
      <c r="CG291" s="515"/>
      <c r="CH291" s="515"/>
      <c r="CI291" s="515"/>
      <c r="CJ291" s="515"/>
      <c r="CK291" s="515"/>
      <c r="CL291" s="515"/>
      <c r="CM291" s="515"/>
      <c r="CN291" s="515"/>
      <c r="CO291" s="515"/>
      <c r="CP291" s="515"/>
      <c r="CQ291" s="515"/>
      <c r="CR291" s="515"/>
      <c r="CS291" s="515"/>
      <c r="CT291" s="515"/>
      <c r="CU291" s="515"/>
      <c r="CV291" s="515"/>
      <c r="CW291" s="515"/>
      <c r="CX291" s="515"/>
      <c r="CY291" s="515"/>
      <c r="CZ291" s="515"/>
      <c r="DA291" s="515"/>
      <c r="DB291" s="515"/>
      <c r="DC291" s="515"/>
      <c r="DD291" s="515"/>
      <c r="DE291" s="515"/>
      <c r="DF291" s="515"/>
      <c r="DG291" s="515"/>
      <c r="DH291" s="515"/>
      <c r="DI291" s="515"/>
      <c r="DJ291" s="515"/>
      <c r="DK291" s="515"/>
      <c r="DL291" s="515"/>
      <c r="DM291" s="515"/>
      <c r="DN291" s="515"/>
      <c r="DO291" s="515"/>
      <c r="DP291" s="515"/>
      <c r="DQ291" s="515"/>
      <c r="DR291" s="515"/>
      <c r="DS291" s="515"/>
      <c r="DT291" s="515"/>
      <c r="DU291" s="515"/>
      <c r="DV291" s="515"/>
      <c r="DW291" s="515"/>
      <c r="DX291" s="515"/>
      <c r="DY291" s="515"/>
      <c r="DZ291" s="515"/>
      <c r="EA291" s="515"/>
      <c r="EB291" s="515"/>
      <c r="EC291" s="515"/>
      <c r="ED291" s="515"/>
      <c r="EE291" s="515"/>
      <c r="EF291" s="515"/>
      <c r="EG291" s="515"/>
      <c r="EH291" s="515"/>
      <c r="EI291" s="515"/>
      <c r="EJ291" s="515"/>
      <c r="EK291" s="515"/>
      <c r="EL291" s="515"/>
      <c r="EM291" s="515"/>
      <c r="EN291" s="515"/>
      <c r="EO291" s="515"/>
      <c r="EP291" s="515"/>
      <c r="EQ291" s="515"/>
      <c r="ER291" s="515"/>
      <c r="ES291" s="515"/>
      <c r="ET291" s="515"/>
      <c r="EU291" s="515"/>
      <c r="EV291" s="515"/>
      <c r="EW291" s="515"/>
      <c r="EX291" s="515"/>
      <c r="EY291" s="515"/>
      <c r="EZ291" s="515"/>
      <c r="FA291" s="515"/>
      <c r="FB291" s="515"/>
      <c r="FC291" s="515"/>
      <c r="FD291" s="515"/>
      <c r="FE291" s="515"/>
      <c r="FF291" s="515"/>
      <c r="FG291" s="515"/>
      <c r="FH291" s="515"/>
      <c r="FI291" s="515"/>
      <c r="FJ291" s="515"/>
      <c r="FK291" s="515"/>
      <c r="FL291" s="515"/>
      <c r="FM291" s="515"/>
      <c r="FN291" s="515"/>
      <c r="FO291" s="515"/>
      <c r="FP291" s="515"/>
      <c r="FQ291" s="515"/>
      <c r="FR291" s="515"/>
      <c r="FS291" s="515"/>
      <c r="FT291" s="515"/>
      <c r="FU291" s="515"/>
      <c r="FV291" s="515"/>
      <c r="FW291" s="515"/>
      <c r="FX291" s="515"/>
      <c r="FY291" s="515"/>
      <c r="FZ291" s="515"/>
      <c r="GA291" s="515"/>
      <c r="GB291" s="515"/>
      <c r="GC291" s="515"/>
      <c r="GD291" s="515"/>
      <c r="GE291" s="515"/>
      <c r="GF291" s="515"/>
      <c r="GG291" s="515"/>
      <c r="GH291" s="515"/>
      <c r="GI291" s="515"/>
      <c r="GJ291" s="515"/>
      <c r="GK291" s="515"/>
      <c r="GL291" s="515"/>
      <c r="GM291" s="515"/>
      <c r="GN291" s="515"/>
    </row>
    <row r="292" spans="1:196" s="525" customFormat="1" ht="13.8" hidden="1" outlineLevel="1" x14ac:dyDescent="0.25">
      <c r="A292" s="1415" t="s">
        <v>1171</v>
      </c>
      <c r="B292" s="1415"/>
      <c r="C292" s="1416"/>
      <c r="D292" s="1416"/>
      <c r="E292" s="1466"/>
      <c r="F292" s="520" t="s">
        <v>43</v>
      </c>
      <c r="G292" s="301"/>
      <c r="H292" s="505"/>
      <c r="I292" s="510">
        <f t="shared" si="38"/>
        <v>0</v>
      </c>
      <c r="J292" s="876" t="str">
        <f t="shared" si="37"/>
        <v>-</v>
      </c>
      <c r="K292" s="1458"/>
      <c r="L292" s="1417"/>
      <c r="M292" s="1122"/>
      <c r="N292" s="515"/>
      <c r="O292" s="515"/>
      <c r="P292" s="515"/>
      <c r="Q292" s="515"/>
      <c r="R292" s="515"/>
      <c r="S292" s="515"/>
      <c r="T292" s="515"/>
      <c r="U292" s="515"/>
      <c r="V292" s="515"/>
      <c r="W292" s="515"/>
      <c r="X292" s="515"/>
      <c r="Y292" s="515"/>
      <c r="Z292" s="515"/>
      <c r="AA292" s="515"/>
      <c r="AB292" s="515"/>
      <c r="AC292" s="515"/>
      <c r="AD292" s="515"/>
      <c r="AE292" s="515"/>
      <c r="AF292" s="515"/>
      <c r="AG292" s="515"/>
      <c r="AH292" s="515"/>
      <c r="AI292" s="515"/>
      <c r="AJ292" s="515"/>
      <c r="AK292" s="515"/>
      <c r="AL292" s="515"/>
      <c r="AM292" s="515"/>
      <c r="AN292" s="515"/>
      <c r="AO292" s="515"/>
      <c r="AP292" s="515"/>
      <c r="AQ292" s="515"/>
      <c r="AR292" s="515"/>
      <c r="AS292" s="515"/>
      <c r="AT292" s="515"/>
      <c r="AU292" s="515"/>
      <c r="AV292" s="515"/>
      <c r="AW292" s="515"/>
      <c r="AX292" s="515"/>
      <c r="AY292" s="515"/>
      <c r="AZ292" s="515"/>
      <c r="BA292" s="515"/>
      <c r="BB292" s="515"/>
      <c r="BC292" s="515"/>
      <c r="BD292" s="515"/>
      <c r="BE292" s="515"/>
      <c r="BF292" s="515"/>
      <c r="BG292" s="515"/>
      <c r="BH292" s="515"/>
      <c r="BI292" s="515"/>
      <c r="BJ292" s="515"/>
      <c r="BK292" s="515"/>
      <c r="BL292" s="515"/>
      <c r="BM292" s="515"/>
      <c r="BN292" s="515"/>
      <c r="BO292" s="515"/>
      <c r="BP292" s="515"/>
      <c r="BQ292" s="515"/>
      <c r="BR292" s="515"/>
      <c r="BS292" s="515"/>
      <c r="BT292" s="515"/>
      <c r="BU292" s="515"/>
      <c r="BV292" s="515"/>
      <c r="BW292" s="515"/>
      <c r="BX292" s="515"/>
      <c r="BY292" s="515"/>
      <c r="BZ292" s="515"/>
      <c r="CA292" s="515"/>
      <c r="CB292" s="515"/>
      <c r="CC292" s="515"/>
      <c r="CD292" s="515"/>
      <c r="CE292" s="515"/>
      <c r="CF292" s="515"/>
      <c r="CG292" s="515"/>
      <c r="CH292" s="515"/>
      <c r="CI292" s="515"/>
      <c r="CJ292" s="515"/>
      <c r="CK292" s="515"/>
      <c r="CL292" s="515"/>
      <c r="CM292" s="515"/>
      <c r="CN292" s="515"/>
      <c r="CO292" s="515"/>
      <c r="CP292" s="515"/>
      <c r="CQ292" s="515"/>
      <c r="CR292" s="515"/>
      <c r="CS292" s="515"/>
      <c r="CT292" s="515"/>
      <c r="CU292" s="515"/>
      <c r="CV292" s="515"/>
      <c r="CW292" s="515"/>
      <c r="CX292" s="515"/>
      <c r="CY292" s="515"/>
      <c r="CZ292" s="515"/>
      <c r="DA292" s="515"/>
      <c r="DB292" s="515"/>
      <c r="DC292" s="515"/>
      <c r="DD292" s="515"/>
      <c r="DE292" s="515"/>
      <c r="DF292" s="515"/>
      <c r="DG292" s="515"/>
      <c r="DH292" s="515"/>
      <c r="DI292" s="515"/>
      <c r="DJ292" s="515"/>
      <c r="DK292" s="515"/>
      <c r="DL292" s="515"/>
      <c r="DM292" s="515"/>
      <c r="DN292" s="515"/>
      <c r="DO292" s="515"/>
      <c r="DP292" s="515"/>
      <c r="DQ292" s="515"/>
      <c r="DR292" s="515"/>
      <c r="DS292" s="515"/>
      <c r="DT292" s="515"/>
      <c r="DU292" s="515"/>
      <c r="DV292" s="515"/>
      <c r="DW292" s="515"/>
      <c r="DX292" s="515"/>
      <c r="DY292" s="515"/>
      <c r="DZ292" s="515"/>
      <c r="EA292" s="515"/>
      <c r="EB292" s="515"/>
      <c r="EC292" s="515"/>
      <c r="ED292" s="515"/>
      <c r="EE292" s="515"/>
      <c r="EF292" s="515"/>
      <c r="EG292" s="515"/>
      <c r="EH292" s="515"/>
      <c r="EI292" s="515"/>
      <c r="EJ292" s="515"/>
      <c r="EK292" s="515"/>
      <c r="EL292" s="515"/>
      <c r="EM292" s="515"/>
      <c r="EN292" s="515"/>
      <c r="EO292" s="515"/>
      <c r="EP292" s="515"/>
      <c r="EQ292" s="515"/>
      <c r="ER292" s="515"/>
      <c r="ES292" s="515"/>
      <c r="ET292" s="515"/>
      <c r="EU292" s="515"/>
      <c r="EV292" s="515"/>
      <c r="EW292" s="515"/>
      <c r="EX292" s="515"/>
      <c r="EY292" s="515"/>
      <c r="EZ292" s="515"/>
      <c r="FA292" s="515"/>
      <c r="FB292" s="515"/>
      <c r="FC292" s="515"/>
      <c r="FD292" s="515"/>
      <c r="FE292" s="515"/>
      <c r="FF292" s="515"/>
      <c r="FG292" s="515"/>
      <c r="FH292" s="515"/>
      <c r="FI292" s="515"/>
      <c r="FJ292" s="515"/>
      <c r="FK292" s="515"/>
      <c r="FL292" s="515"/>
      <c r="FM292" s="515"/>
      <c r="FN292" s="515"/>
      <c r="FO292" s="515"/>
      <c r="FP292" s="515"/>
      <c r="FQ292" s="515"/>
      <c r="FR292" s="515"/>
      <c r="FS292" s="515"/>
      <c r="FT292" s="515"/>
      <c r="FU292" s="515"/>
      <c r="FV292" s="515"/>
      <c r="FW292" s="515"/>
      <c r="FX292" s="515"/>
      <c r="FY292" s="515"/>
      <c r="FZ292" s="515"/>
      <c r="GA292" s="515"/>
      <c r="GB292" s="515"/>
      <c r="GC292" s="515"/>
      <c r="GD292" s="515"/>
      <c r="GE292" s="515"/>
      <c r="GF292" s="515"/>
      <c r="GG292" s="515"/>
      <c r="GH292" s="515"/>
      <c r="GI292" s="515"/>
      <c r="GJ292" s="515"/>
      <c r="GK292" s="515"/>
      <c r="GL292" s="515"/>
      <c r="GM292" s="515"/>
      <c r="GN292" s="515"/>
    </row>
    <row r="293" spans="1:196" ht="13.8" collapsed="1" x14ac:dyDescent="0.25">
      <c r="C293" s="923">
        <f>1038342-G299</f>
        <v>669714</v>
      </c>
      <c r="D293" s="923">
        <f>C293-G293</f>
        <v>-52638</v>
      </c>
      <c r="E293" s="151" t="s">
        <v>692</v>
      </c>
      <c r="F293" s="145" t="s">
        <v>635</v>
      </c>
      <c r="G293" s="302">
        <v>722352</v>
      </c>
      <c r="H293" s="302">
        <v>923235.59305699996</v>
      </c>
      <c r="I293" s="302">
        <f t="shared" si="38"/>
        <v>200883.59305699996</v>
      </c>
      <c r="J293" s="867">
        <f t="shared" si="37"/>
        <v>0.27809654165420733</v>
      </c>
      <c r="K293" s="220"/>
      <c r="L293" s="224"/>
    </row>
    <row r="294" spans="1:196" s="104" customFormat="1" ht="13.8" hidden="1" outlineLevel="1" x14ac:dyDescent="0.25">
      <c r="A294" s="810" t="s">
        <v>750</v>
      </c>
      <c r="B294" s="810" t="s">
        <v>228</v>
      </c>
      <c r="C294" s="923"/>
      <c r="D294" s="923"/>
      <c r="E294" s="214"/>
      <c r="F294" s="160" t="s">
        <v>228</v>
      </c>
      <c r="G294" s="304">
        <v>299616</v>
      </c>
      <c r="H294" s="304">
        <v>342620.03305699996</v>
      </c>
      <c r="I294" s="439">
        <f t="shared" si="38"/>
        <v>43004.033056999964</v>
      </c>
      <c r="J294" s="894">
        <f t="shared" si="37"/>
        <v>0.14353049589140754</v>
      </c>
      <c r="K294" s="219"/>
      <c r="L294" s="224"/>
      <c r="M294" s="107"/>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row>
    <row r="295" spans="1:196" s="104" customFormat="1" ht="69" hidden="1" outlineLevel="1" x14ac:dyDescent="0.25">
      <c r="A295" s="810" t="s">
        <v>750</v>
      </c>
      <c r="B295" s="810" t="s">
        <v>554</v>
      </c>
      <c r="C295" s="923"/>
      <c r="D295" s="923"/>
      <c r="E295" s="214"/>
      <c r="F295" s="160" t="s">
        <v>198</v>
      </c>
      <c r="G295" s="304">
        <v>227381</v>
      </c>
      <c r="H295" s="304">
        <v>315284.56</v>
      </c>
      <c r="I295" s="439">
        <f t="shared" si="38"/>
        <v>87903.56</v>
      </c>
      <c r="J295" s="894">
        <f t="shared" si="37"/>
        <v>0.38659149181330016</v>
      </c>
      <c r="K295" s="458" t="s">
        <v>1653</v>
      </c>
      <c r="L295" s="224"/>
      <c r="M295" s="107"/>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row>
    <row r="296" spans="1:196" s="104" customFormat="1" ht="13.8" hidden="1" outlineLevel="1" x14ac:dyDescent="0.25">
      <c r="A296" s="810" t="s">
        <v>750</v>
      </c>
      <c r="B296" s="810" t="s">
        <v>1270</v>
      </c>
      <c r="C296" s="923"/>
      <c r="D296" s="923"/>
      <c r="E296" s="500"/>
      <c r="F296" s="1000" t="s">
        <v>1270</v>
      </c>
      <c r="G296" s="304">
        <v>168969</v>
      </c>
      <c r="H296" s="304">
        <v>241081</v>
      </c>
      <c r="I296" s="439">
        <f t="shared" ref="I296" si="39">H296-G296</f>
        <v>72112</v>
      </c>
      <c r="J296" s="894">
        <f t="shared" ref="J296" si="40">IFERROR(I296/G296,"-")</f>
        <v>0.42677650930052258</v>
      </c>
      <c r="K296" s="1002" t="s">
        <v>1278</v>
      </c>
      <c r="L296" s="224"/>
      <c r="M296" s="107"/>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row>
    <row r="297" spans="1:196" s="216" customFormat="1" ht="13.8" hidden="1" outlineLevel="1" x14ac:dyDescent="0.25">
      <c r="A297" s="810" t="s">
        <v>750</v>
      </c>
      <c r="B297" s="810" t="s">
        <v>556</v>
      </c>
      <c r="C297" s="923"/>
      <c r="D297" s="923"/>
      <c r="E297" s="162"/>
      <c r="F297" s="163" t="s">
        <v>197</v>
      </c>
      <c r="G297" s="304">
        <v>26386</v>
      </c>
      <c r="H297" s="304">
        <v>24250</v>
      </c>
      <c r="I297" s="439">
        <f t="shared" si="38"/>
        <v>-2136</v>
      </c>
      <c r="J297" s="894">
        <f t="shared" si="37"/>
        <v>-8.0952020010611692E-2</v>
      </c>
      <c r="K297" s="318"/>
      <c r="L297" s="224"/>
      <c r="M297" s="1120"/>
      <c r="N297" s="223"/>
      <c r="O297" s="223"/>
      <c r="P297" s="223"/>
      <c r="Q297" s="223"/>
      <c r="R297" s="223"/>
      <c r="S297" s="223"/>
      <c r="T297" s="223"/>
      <c r="U297" s="223"/>
      <c r="V297" s="223"/>
      <c r="W297" s="223"/>
      <c r="X297" s="223"/>
      <c r="Y297" s="223"/>
      <c r="Z297" s="223"/>
      <c r="AA297" s="223"/>
      <c r="AB297" s="223"/>
      <c r="AC297" s="223"/>
      <c r="AD297" s="223"/>
      <c r="AE297" s="223"/>
      <c r="AF297" s="223"/>
      <c r="AG297" s="223"/>
      <c r="AH297" s="223"/>
      <c r="AI297" s="223"/>
      <c r="AJ297" s="223"/>
      <c r="AK297" s="223"/>
      <c r="AL297" s="223"/>
      <c r="AM297" s="223"/>
      <c r="AN297" s="223"/>
      <c r="AO297" s="223"/>
      <c r="AP297" s="223"/>
      <c r="AQ297" s="223"/>
      <c r="AR297" s="223"/>
      <c r="AS297" s="223"/>
      <c r="AT297" s="223"/>
      <c r="AU297" s="223"/>
      <c r="AV297" s="223"/>
      <c r="AW297" s="223"/>
      <c r="AX297" s="223"/>
      <c r="AY297" s="223"/>
      <c r="AZ297" s="223"/>
      <c r="BA297" s="223"/>
      <c r="BB297" s="223"/>
      <c r="BC297" s="223"/>
      <c r="BD297" s="223"/>
      <c r="BE297" s="223"/>
      <c r="BF297" s="223"/>
      <c r="BG297" s="223"/>
      <c r="BH297" s="223"/>
      <c r="BI297" s="223"/>
      <c r="BJ297" s="223"/>
      <c r="BK297" s="223"/>
      <c r="BL297" s="223"/>
      <c r="BM297" s="223"/>
      <c r="BN297" s="223"/>
      <c r="BO297" s="223"/>
      <c r="BP297" s="223"/>
      <c r="BQ297" s="223"/>
      <c r="BR297" s="223"/>
      <c r="BS297" s="223"/>
      <c r="BT297" s="223"/>
      <c r="BU297" s="223"/>
      <c r="BV297" s="223"/>
      <c r="BW297" s="223"/>
      <c r="BX297" s="223"/>
      <c r="BY297" s="223"/>
      <c r="BZ297" s="223"/>
      <c r="CA297" s="223"/>
      <c r="CB297" s="223"/>
      <c r="CC297" s="223"/>
      <c r="CD297" s="223"/>
      <c r="CE297" s="223"/>
      <c r="CF297" s="223"/>
      <c r="CG297" s="223"/>
      <c r="CH297" s="223"/>
      <c r="CI297" s="223"/>
      <c r="CJ297" s="223"/>
      <c r="CK297" s="223"/>
      <c r="CL297" s="223"/>
      <c r="CM297" s="223"/>
      <c r="CN297" s="223"/>
      <c r="CO297" s="223"/>
      <c r="CP297" s="223"/>
      <c r="CQ297" s="223"/>
      <c r="CR297" s="223"/>
      <c r="CS297" s="223"/>
      <c r="CT297" s="223"/>
      <c r="CU297" s="223"/>
      <c r="CV297" s="223"/>
      <c r="CW297" s="223"/>
      <c r="CX297" s="223"/>
      <c r="CY297" s="223"/>
      <c r="CZ297" s="223"/>
      <c r="DA297" s="223"/>
      <c r="DB297" s="223"/>
      <c r="DC297" s="223"/>
      <c r="DD297" s="223"/>
      <c r="DE297" s="223"/>
      <c r="DF297" s="223"/>
      <c r="DG297" s="223"/>
      <c r="DH297" s="223"/>
      <c r="DI297" s="223"/>
      <c r="DJ297" s="223"/>
      <c r="DK297" s="223"/>
      <c r="DL297" s="223"/>
      <c r="DM297" s="223"/>
      <c r="DN297" s="223"/>
      <c r="DO297" s="223"/>
      <c r="DP297" s="223"/>
      <c r="DQ297" s="223"/>
      <c r="DR297" s="223"/>
      <c r="DS297" s="223"/>
      <c r="DT297" s="223"/>
      <c r="DU297" s="223"/>
      <c r="DV297" s="223"/>
      <c r="DW297" s="223"/>
      <c r="DX297" s="223"/>
      <c r="DY297" s="223"/>
      <c r="DZ297" s="223"/>
      <c r="EA297" s="223"/>
      <c r="EB297" s="223"/>
      <c r="EC297" s="223"/>
      <c r="ED297" s="223"/>
      <c r="EE297" s="223"/>
      <c r="EF297" s="223"/>
      <c r="EG297" s="223"/>
      <c r="EH297" s="223"/>
      <c r="EI297" s="223"/>
      <c r="EJ297" s="223"/>
      <c r="EK297" s="223"/>
      <c r="EL297" s="223"/>
      <c r="EM297" s="223"/>
      <c r="EN297" s="223"/>
      <c r="EO297" s="223"/>
      <c r="EP297" s="223"/>
      <c r="EQ297" s="223"/>
      <c r="ER297" s="223"/>
      <c r="ES297" s="223"/>
      <c r="ET297" s="223"/>
      <c r="EU297" s="223"/>
      <c r="EV297" s="223"/>
      <c r="EW297" s="223"/>
      <c r="EX297" s="223"/>
      <c r="EY297" s="223"/>
      <c r="EZ297" s="223"/>
      <c r="FA297" s="223"/>
      <c r="FB297" s="223"/>
      <c r="FC297" s="223"/>
      <c r="FD297" s="223"/>
      <c r="FE297" s="223"/>
      <c r="FF297" s="223"/>
      <c r="FG297" s="223"/>
      <c r="FH297" s="223"/>
      <c r="FI297" s="223"/>
      <c r="FJ297" s="223"/>
      <c r="FK297" s="223"/>
      <c r="FL297" s="223"/>
      <c r="FM297" s="223"/>
      <c r="FN297" s="223"/>
      <c r="FO297" s="223"/>
      <c r="FP297" s="223"/>
      <c r="FQ297" s="223"/>
      <c r="FR297" s="223"/>
      <c r="FS297" s="223"/>
      <c r="FT297" s="223"/>
      <c r="FU297" s="223"/>
      <c r="FV297" s="223"/>
      <c r="FW297" s="223"/>
      <c r="FX297" s="223"/>
      <c r="FY297" s="223"/>
      <c r="FZ297" s="223"/>
      <c r="GA297" s="223"/>
      <c r="GB297" s="223"/>
      <c r="GC297" s="223"/>
      <c r="GD297" s="223"/>
      <c r="GE297" s="223"/>
      <c r="GF297" s="223"/>
      <c r="GG297" s="223"/>
      <c r="GH297" s="223"/>
      <c r="GI297" s="223"/>
      <c r="GJ297" s="223"/>
      <c r="GK297" s="223"/>
      <c r="GL297" s="223"/>
      <c r="GM297" s="223"/>
      <c r="GN297" s="223"/>
    </row>
    <row r="298" spans="1:196" s="525" customFormat="1" ht="13.8" hidden="1" outlineLevel="1" x14ac:dyDescent="0.25">
      <c r="A298" s="1415" t="s">
        <v>751</v>
      </c>
      <c r="B298" s="1415" t="s">
        <v>182</v>
      </c>
      <c r="C298" s="1416">
        <f>23538+755295</f>
        <v>778833</v>
      </c>
      <c r="D298" s="1416">
        <f>C298-G298</f>
        <v>0</v>
      </c>
      <c r="E298" s="523"/>
      <c r="F298" s="520" t="s">
        <v>167</v>
      </c>
      <c r="G298" s="301">
        <v>778833.00000000012</v>
      </c>
      <c r="H298" s="505">
        <v>1001036</v>
      </c>
      <c r="I298" s="513">
        <f t="shared" si="38"/>
        <v>222202.99999999988</v>
      </c>
      <c r="J298" s="892">
        <f t="shared" si="37"/>
        <v>0.28530249745452474</v>
      </c>
      <c r="K298" s="1458"/>
      <c r="L298" s="1417"/>
      <c r="M298" s="1122"/>
      <c r="N298" s="515"/>
      <c r="O298" s="515"/>
      <c r="P298" s="515"/>
      <c r="Q298" s="515"/>
      <c r="R298" s="515"/>
      <c r="S298" s="515"/>
      <c r="T298" s="515"/>
      <c r="U298" s="515"/>
      <c r="V298" s="515"/>
      <c r="W298" s="515"/>
      <c r="X298" s="515"/>
      <c r="Y298" s="515"/>
      <c r="Z298" s="515"/>
      <c r="AA298" s="515"/>
      <c r="AB298" s="515"/>
      <c r="AC298" s="515"/>
      <c r="AD298" s="515"/>
      <c r="AE298" s="515"/>
      <c r="AF298" s="515"/>
      <c r="AG298" s="515"/>
      <c r="AH298" s="515"/>
      <c r="AI298" s="515"/>
      <c r="AJ298" s="515"/>
      <c r="AK298" s="515"/>
      <c r="AL298" s="515"/>
      <c r="AM298" s="515"/>
      <c r="AN298" s="515"/>
      <c r="AO298" s="515"/>
      <c r="AP298" s="515"/>
      <c r="AQ298" s="515"/>
      <c r="AR298" s="515"/>
      <c r="AS298" s="515"/>
      <c r="AT298" s="515"/>
      <c r="AU298" s="515"/>
      <c r="AV298" s="515"/>
      <c r="AW298" s="515"/>
      <c r="AX298" s="515"/>
      <c r="AY298" s="515"/>
      <c r="AZ298" s="515"/>
      <c r="BA298" s="515"/>
      <c r="BB298" s="515"/>
      <c r="BC298" s="515"/>
      <c r="BD298" s="515"/>
      <c r="BE298" s="515"/>
      <c r="BF298" s="515"/>
      <c r="BG298" s="515"/>
      <c r="BH298" s="515"/>
      <c r="BI298" s="515"/>
      <c r="BJ298" s="515"/>
      <c r="BK298" s="515"/>
      <c r="BL298" s="515"/>
      <c r="BM298" s="515"/>
      <c r="BN298" s="515"/>
      <c r="BO298" s="515"/>
      <c r="BP298" s="515"/>
      <c r="BQ298" s="515"/>
      <c r="BR298" s="515"/>
      <c r="BS298" s="515"/>
      <c r="BT298" s="515"/>
      <c r="BU298" s="515"/>
      <c r="BV298" s="515"/>
      <c r="BW298" s="515"/>
      <c r="BX298" s="515"/>
      <c r="BY298" s="515"/>
      <c r="BZ298" s="515"/>
      <c r="CA298" s="515"/>
      <c r="CB298" s="515"/>
      <c r="CC298" s="515"/>
      <c r="CD298" s="515"/>
      <c r="CE298" s="515"/>
      <c r="CF298" s="515"/>
      <c r="CG298" s="515"/>
      <c r="CH298" s="515"/>
      <c r="CI298" s="515"/>
      <c r="CJ298" s="515"/>
      <c r="CK298" s="515"/>
      <c r="CL298" s="515"/>
      <c r="CM298" s="515"/>
      <c r="CN298" s="515"/>
      <c r="CO298" s="515"/>
      <c r="CP298" s="515"/>
      <c r="CQ298" s="515"/>
      <c r="CR298" s="515"/>
      <c r="CS298" s="515"/>
      <c r="CT298" s="515"/>
      <c r="CU298" s="515"/>
      <c r="CV298" s="515"/>
      <c r="CW298" s="515"/>
      <c r="CX298" s="515"/>
      <c r="CY298" s="515"/>
      <c r="CZ298" s="515"/>
      <c r="DA298" s="515"/>
      <c r="DB298" s="515"/>
      <c r="DC298" s="515"/>
      <c r="DD298" s="515"/>
      <c r="DE298" s="515"/>
      <c r="DF298" s="515"/>
      <c r="DG298" s="515"/>
      <c r="DH298" s="515"/>
      <c r="DI298" s="515"/>
      <c r="DJ298" s="515"/>
      <c r="DK298" s="515"/>
      <c r="DL298" s="515"/>
      <c r="DM298" s="515"/>
      <c r="DN298" s="515"/>
      <c r="DO298" s="515"/>
      <c r="DP298" s="515"/>
      <c r="DQ298" s="515"/>
      <c r="DR298" s="515"/>
      <c r="DS298" s="515"/>
      <c r="DT298" s="515"/>
      <c r="DU298" s="515"/>
      <c r="DV298" s="515"/>
      <c r="DW298" s="515"/>
      <c r="DX298" s="515"/>
      <c r="DY298" s="515"/>
      <c r="DZ298" s="515"/>
      <c r="EA298" s="515"/>
      <c r="EB298" s="515"/>
      <c r="EC298" s="515"/>
      <c r="ED298" s="515"/>
      <c r="EE298" s="515"/>
      <c r="EF298" s="515"/>
      <c r="EG298" s="515"/>
      <c r="EH298" s="515"/>
      <c r="EI298" s="515"/>
      <c r="EJ298" s="515"/>
      <c r="EK298" s="515"/>
      <c r="EL298" s="515"/>
      <c r="EM298" s="515"/>
      <c r="EN298" s="515"/>
      <c r="EO298" s="515"/>
      <c r="EP298" s="515"/>
      <c r="EQ298" s="515"/>
      <c r="ER298" s="515"/>
      <c r="ES298" s="515"/>
      <c r="ET298" s="515"/>
      <c r="EU298" s="515"/>
      <c r="EV298" s="515"/>
      <c r="EW298" s="515"/>
      <c r="EX298" s="515"/>
      <c r="EY298" s="515"/>
      <c r="EZ298" s="515"/>
      <c r="FA298" s="515"/>
      <c r="FB298" s="515"/>
      <c r="FC298" s="515"/>
      <c r="FD298" s="515"/>
      <c r="FE298" s="515"/>
      <c r="FF298" s="515"/>
      <c r="FG298" s="515"/>
      <c r="FH298" s="515"/>
      <c r="FI298" s="515"/>
      <c r="FJ298" s="515"/>
      <c r="FK298" s="515"/>
      <c r="FL298" s="515"/>
      <c r="FM298" s="515"/>
      <c r="FN298" s="515"/>
      <c r="FO298" s="515"/>
      <c r="FP298" s="515"/>
      <c r="FQ298" s="515"/>
      <c r="FR298" s="515"/>
      <c r="FS298" s="515"/>
      <c r="FT298" s="515"/>
      <c r="FU298" s="515"/>
      <c r="FV298" s="515"/>
      <c r="FW298" s="515"/>
      <c r="FX298" s="515"/>
      <c r="FY298" s="515"/>
      <c r="FZ298" s="515"/>
      <c r="GA298" s="515"/>
      <c r="GB298" s="515"/>
      <c r="GC298" s="515"/>
      <c r="GD298" s="515"/>
      <c r="GE298" s="515"/>
      <c r="GF298" s="515"/>
      <c r="GG298" s="515"/>
      <c r="GH298" s="515"/>
      <c r="GI298" s="515"/>
      <c r="GJ298" s="515"/>
      <c r="GK298" s="515"/>
      <c r="GL298" s="515"/>
      <c r="GM298" s="515"/>
      <c r="GN298" s="515"/>
    </row>
    <row r="299" spans="1:196" s="525" customFormat="1" ht="13.8" hidden="1" outlineLevel="1" x14ac:dyDescent="0.25">
      <c r="A299" s="1415" t="s">
        <v>750</v>
      </c>
      <c r="B299" s="1415" t="s">
        <v>555</v>
      </c>
      <c r="C299" s="1416"/>
      <c r="D299" s="1416"/>
      <c r="E299" s="523"/>
      <c r="F299" s="520" t="s">
        <v>555</v>
      </c>
      <c r="G299" s="301">
        <v>368628</v>
      </c>
      <c r="H299" s="505">
        <v>16500</v>
      </c>
      <c r="I299" s="513">
        <f t="shared" si="38"/>
        <v>-352128</v>
      </c>
      <c r="J299" s="892">
        <f t="shared" si="37"/>
        <v>-0.95523942836680886</v>
      </c>
      <c r="K299" s="1458"/>
      <c r="L299" s="1417"/>
      <c r="M299" s="1122"/>
      <c r="N299" s="515"/>
      <c r="O299" s="515"/>
      <c r="P299" s="515"/>
      <c r="Q299" s="515"/>
      <c r="R299" s="515"/>
      <c r="S299" s="515"/>
      <c r="T299" s="515"/>
      <c r="U299" s="515"/>
      <c r="V299" s="515"/>
      <c r="W299" s="515"/>
      <c r="X299" s="515"/>
      <c r="Y299" s="515"/>
      <c r="Z299" s="515"/>
      <c r="AA299" s="515"/>
      <c r="AB299" s="515"/>
      <c r="AC299" s="515"/>
      <c r="AD299" s="515"/>
      <c r="AE299" s="515"/>
      <c r="AF299" s="515"/>
      <c r="AG299" s="515"/>
      <c r="AH299" s="515"/>
      <c r="AI299" s="515"/>
      <c r="AJ299" s="515"/>
      <c r="AK299" s="515"/>
      <c r="AL299" s="515"/>
      <c r="AM299" s="515"/>
      <c r="AN299" s="515"/>
      <c r="AO299" s="515"/>
      <c r="AP299" s="515"/>
      <c r="AQ299" s="515"/>
      <c r="AR299" s="515"/>
      <c r="AS299" s="515"/>
      <c r="AT299" s="515"/>
      <c r="AU299" s="515"/>
      <c r="AV299" s="515"/>
      <c r="AW299" s="515"/>
      <c r="AX299" s="515"/>
      <c r="AY299" s="515"/>
      <c r="AZ299" s="515"/>
      <c r="BA299" s="515"/>
      <c r="BB299" s="515"/>
      <c r="BC299" s="515"/>
      <c r="BD299" s="515"/>
      <c r="BE299" s="515"/>
      <c r="BF299" s="515"/>
      <c r="BG299" s="515"/>
      <c r="BH299" s="515"/>
      <c r="BI299" s="515"/>
      <c r="BJ299" s="515"/>
      <c r="BK299" s="515"/>
      <c r="BL299" s="515"/>
      <c r="BM299" s="515"/>
      <c r="BN299" s="515"/>
      <c r="BO299" s="515"/>
      <c r="BP299" s="515"/>
      <c r="BQ299" s="515"/>
      <c r="BR299" s="515"/>
      <c r="BS299" s="515"/>
      <c r="BT299" s="515"/>
      <c r="BU299" s="515"/>
      <c r="BV299" s="515"/>
      <c r="BW299" s="515"/>
      <c r="BX299" s="515"/>
      <c r="BY299" s="515"/>
      <c r="BZ299" s="515"/>
      <c r="CA299" s="515"/>
      <c r="CB299" s="515"/>
      <c r="CC299" s="515"/>
      <c r="CD299" s="515"/>
      <c r="CE299" s="515"/>
      <c r="CF299" s="515"/>
      <c r="CG299" s="515"/>
      <c r="CH299" s="515"/>
      <c r="CI299" s="515"/>
      <c r="CJ299" s="515"/>
      <c r="CK299" s="515"/>
      <c r="CL299" s="515"/>
      <c r="CM299" s="515"/>
      <c r="CN299" s="515"/>
      <c r="CO299" s="515"/>
      <c r="CP299" s="515"/>
      <c r="CQ299" s="515"/>
      <c r="CR299" s="515"/>
      <c r="CS299" s="515"/>
      <c r="CT299" s="515"/>
      <c r="CU299" s="515"/>
      <c r="CV299" s="515"/>
      <c r="CW299" s="515"/>
      <c r="CX299" s="515"/>
      <c r="CY299" s="515"/>
      <c r="CZ299" s="515"/>
      <c r="DA299" s="515"/>
      <c r="DB299" s="515"/>
      <c r="DC299" s="515"/>
      <c r="DD299" s="515"/>
      <c r="DE299" s="515"/>
      <c r="DF299" s="515"/>
      <c r="DG299" s="515"/>
      <c r="DH299" s="515"/>
      <c r="DI299" s="515"/>
      <c r="DJ299" s="515"/>
      <c r="DK299" s="515"/>
      <c r="DL299" s="515"/>
      <c r="DM299" s="515"/>
      <c r="DN299" s="515"/>
      <c r="DO299" s="515"/>
      <c r="DP299" s="515"/>
      <c r="DQ299" s="515"/>
      <c r="DR299" s="515"/>
      <c r="DS299" s="515"/>
      <c r="DT299" s="515"/>
      <c r="DU299" s="515"/>
      <c r="DV299" s="515"/>
      <c r="DW299" s="515"/>
      <c r="DX299" s="515"/>
      <c r="DY299" s="515"/>
      <c r="DZ299" s="515"/>
      <c r="EA299" s="515"/>
      <c r="EB299" s="515"/>
      <c r="EC299" s="515"/>
      <c r="ED299" s="515"/>
      <c r="EE299" s="515"/>
      <c r="EF299" s="515"/>
      <c r="EG299" s="515"/>
      <c r="EH299" s="515"/>
      <c r="EI299" s="515"/>
      <c r="EJ299" s="515"/>
      <c r="EK299" s="515"/>
      <c r="EL299" s="515"/>
      <c r="EM299" s="515"/>
      <c r="EN299" s="515"/>
      <c r="EO299" s="515"/>
      <c r="EP299" s="515"/>
      <c r="EQ299" s="515"/>
      <c r="ER299" s="515"/>
      <c r="ES299" s="515"/>
      <c r="ET299" s="515"/>
      <c r="EU299" s="515"/>
      <c r="EV299" s="515"/>
      <c r="EW299" s="515"/>
      <c r="EX299" s="515"/>
      <c r="EY299" s="515"/>
      <c r="EZ299" s="515"/>
      <c r="FA299" s="515"/>
      <c r="FB299" s="515"/>
      <c r="FC299" s="515"/>
      <c r="FD299" s="515"/>
      <c r="FE299" s="515"/>
      <c r="FF299" s="515"/>
      <c r="FG299" s="515"/>
      <c r="FH299" s="515"/>
      <c r="FI299" s="515"/>
      <c r="FJ299" s="515"/>
      <c r="FK299" s="515"/>
      <c r="FL299" s="515"/>
      <c r="FM299" s="515"/>
      <c r="FN299" s="515"/>
      <c r="FO299" s="515"/>
      <c r="FP299" s="515"/>
      <c r="FQ299" s="515"/>
      <c r="FR299" s="515"/>
      <c r="FS299" s="515"/>
      <c r="FT299" s="515"/>
      <c r="FU299" s="515"/>
      <c r="FV299" s="515"/>
      <c r="FW299" s="515"/>
      <c r="FX299" s="515"/>
      <c r="FY299" s="515"/>
      <c r="FZ299" s="515"/>
      <c r="GA299" s="515"/>
      <c r="GB299" s="515"/>
      <c r="GC299" s="515"/>
      <c r="GD299" s="515"/>
      <c r="GE299" s="515"/>
      <c r="GF299" s="515"/>
      <c r="GG299" s="515"/>
      <c r="GH299" s="515"/>
      <c r="GI299" s="515"/>
      <c r="GJ299" s="515"/>
      <c r="GK299" s="515"/>
      <c r="GL299" s="515"/>
      <c r="GM299" s="515"/>
      <c r="GN299" s="515"/>
    </row>
    <row r="300" spans="1:196" s="525" customFormat="1" ht="16.2" hidden="1" customHeight="1" outlineLevel="1" x14ac:dyDescent="0.25">
      <c r="A300" s="1415" t="s">
        <v>750</v>
      </c>
      <c r="B300" s="1415" t="s">
        <v>192</v>
      </c>
      <c r="C300" s="1416">
        <v>5643340</v>
      </c>
      <c r="D300" s="1416">
        <f>C300-G300</f>
        <v>99207</v>
      </c>
      <c r="E300" s="528"/>
      <c r="F300" s="1103" t="s">
        <v>43</v>
      </c>
      <c r="G300" s="301">
        <v>5544133</v>
      </c>
      <c r="H300" s="505">
        <v>0</v>
      </c>
      <c r="I300" s="513">
        <f t="shared" si="38"/>
        <v>-5544133</v>
      </c>
      <c r="J300" s="892">
        <f t="shared" si="37"/>
        <v>-1</v>
      </c>
      <c r="K300" s="1458"/>
      <c r="L300" s="1417"/>
      <c r="M300" s="1122"/>
      <c r="N300" s="515"/>
      <c r="O300" s="515"/>
      <c r="P300" s="515"/>
      <c r="Q300" s="515"/>
      <c r="R300" s="515"/>
      <c r="S300" s="515"/>
      <c r="T300" s="515"/>
      <c r="U300" s="515"/>
      <c r="V300" s="515"/>
      <c r="W300" s="515"/>
      <c r="X300" s="515"/>
      <c r="Y300" s="515"/>
      <c r="Z300" s="515"/>
      <c r="AA300" s="515"/>
      <c r="AB300" s="515"/>
      <c r="AC300" s="515"/>
      <c r="AD300" s="515"/>
      <c r="AE300" s="515"/>
      <c r="AF300" s="515"/>
      <c r="AG300" s="515"/>
      <c r="AH300" s="515"/>
      <c r="AI300" s="515"/>
      <c r="AJ300" s="515"/>
      <c r="AK300" s="515"/>
      <c r="AL300" s="515"/>
      <c r="AM300" s="515"/>
      <c r="AN300" s="515"/>
      <c r="AO300" s="515"/>
      <c r="AP300" s="515"/>
      <c r="AQ300" s="515"/>
      <c r="AR300" s="515"/>
      <c r="AS300" s="515"/>
      <c r="AT300" s="515"/>
      <c r="AU300" s="515"/>
      <c r="AV300" s="515"/>
      <c r="AW300" s="515"/>
      <c r="AX300" s="515"/>
      <c r="AY300" s="515"/>
      <c r="AZ300" s="515"/>
      <c r="BA300" s="515"/>
      <c r="BB300" s="515"/>
      <c r="BC300" s="515"/>
      <c r="BD300" s="515"/>
      <c r="BE300" s="515"/>
      <c r="BF300" s="515"/>
      <c r="BG300" s="515"/>
      <c r="BH300" s="515"/>
      <c r="BI300" s="515"/>
      <c r="BJ300" s="515"/>
      <c r="BK300" s="515"/>
      <c r="BL300" s="515"/>
      <c r="BM300" s="515"/>
      <c r="BN300" s="515"/>
      <c r="BO300" s="515"/>
      <c r="BP300" s="515"/>
      <c r="BQ300" s="515"/>
      <c r="BR300" s="515"/>
      <c r="BS300" s="515"/>
      <c r="BT300" s="515"/>
      <c r="BU300" s="515"/>
      <c r="BV300" s="515"/>
      <c r="BW300" s="515"/>
      <c r="BX300" s="515"/>
      <c r="BY300" s="515"/>
      <c r="BZ300" s="515"/>
      <c r="CA300" s="515"/>
      <c r="CB300" s="515"/>
      <c r="CC300" s="515"/>
      <c r="CD300" s="515"/>
      <c r="CE300" s="515"/>
      <c r="CF300" s="515"/>
      <c r="CG300" s="515"/>
      <c r="CH300" s="515"/>
      <c r="CI300" s="515"/>
      <c r="CJ300" s="515"/>
      <c r="CK300" s="515"/>
      <c r="CL300" s="515"/>
      <c r="CM300" s="515"/>
      <c r="CN300" s="515"/>
      <c r="CO300" s="515"/>
      <c r="CP300" s="515"/>
      <c r="CQ300" s="515"/>
      <c r="CR300" s="515"/>
      <c r="CS300" s="515"/>
      <c r="CT300" s="515"/>
      <c r="CU300" s="515"/>
      <c r="CV300" s="515"/>
      <c r="CW300" s="515"/>
      <c r="CX300" s="515"/>
      <c r="CY300" s="515"/>
      <c r="CZ300" s="515"/>
      <c r="DA300" s="515"/>
      <c r="DB300" s="515"/>
      <c r="DC300" s="515"/>
      <c r="DD300" s="515"/>
      <c r="DE300" s="515"/>
      <c r="DF300" s="515"/>
      <c r="DG300" s="515"/>
      <c r="DH300" s="515"/>
      <c r="DI300" s="515"/>
      <c r="DJ300" s="515"/>
      <c r="DK300" s="515"/>
      <c r="DL300" s="515"/>
      <c r="DM300" s="515"/>
      <c r="DN300" s="515"/>
      <c r="DO300" s="515"/>
      <c r="DP300" s="515"/>
      <c r="DQ300" s="515"/>
      <c r="DR300" s="515"/>
      <c r="DS300" s="515"/>
      <c r="DT300" s="515"/>
      <c r="DU300" s="515"/>
      <c r="DV300" s="515"/>
      <c r="DW300" s="515"/>
      <c r="DX300" s="515"/>
      <c r="DY300" s="515"/>
      <c r="DZ300" s="515"/>
      <c r="EA300" s="515"/>
      <c r="EB300" s="515"/>
      <c r="EC300" s="515"/>
      <c r="ED300" s="515"/>
      <c r="EE300" s="515"/>
      <c r="EF300" s="515"/>
      <c r="EG300" s="515"/>
      <c r="EH300" s="515"/>
      <c r="EI300" s="515"/>
      <c r="EJ300" s="515"/>
      <c r="EK300" s="515"/>
      <c r="EL300" s="515"/>
      <c r="EM300" s="515"/>
      <c r="EN300" s="515"/>
      <c r="EO300" s="515"/>
      <c r="EP300" s="515"/>
      <c r="EQ300" s="515"/>
      <c r="ER300" s="515"/>
      <c r="ES300" s="515"/>
      <c r="ET300" s="515"/>
      <c r="EU300" s="515"/>
      <c r="EV300" s="515"/>
      <c r="EW300" s="515"/>
      <c r="EX300" s="515"/>
      <c r="EY300" s="515"/>
      <c r="EZ300" s="515"/>
      <c r="FA300" s="515"/>
      <c r="FB300" s="515"/>
      <c r="FC300" s="515"/>
      <c r="FD300" s="515"/>
      <c r="FE300" s="515"/>
      <c r="FF300" s="515"/>
      <c r="FG300" s="515"/>
      <c r="FH300" s="515"/>
      <c r="FI300" s="515"/>
      <c r="FJ300" s="515"/>
      <c r="FK300" s="515"/>
      <c r="FL300" s="515"/>
      <c r="FM300" s="515"/>
      <c r="FN300" s="515"/>
      <c r="FO300" s="515"/>
      <c r="FP300" s="515"/>
      <c r="FQ300" s="515"/>
      <c r="FR300" s="515"/>
      <c r="FS300" s="515"/>
      <c r="FT300" s="515"/>
      <c r="FU300" s="515"/>
      <c r="FV300" s="515"/>
      <c r="FW300" s="515"/>
      <c r="FX300" s="515"/>
      <c r="FY300" s="515"/>
      <c r="FZ300" s="515"/>
      <c r="GA300" s="515"/>
      <c r="GB300" s="515"/>
      <c r="GC300" s="515"/>
      <c r="GD300" s="515"/>
      <c r="GE300" s="515"/>
      <c r="GF300" s="515"/>
      <c r="GG300" s="515"/>
      <c r="GH300" s="515"/>
      <c r="GI300" s="515"/>
      <c r="GJ300" s="515"/>
      <c r="GK300" s="515"/>
      <c r="GL300" s="515"/>
      <c r="GM300" s="515"/>
      <c r="GN300" s="515"/>
    </row>
    <row r="301" spans="1:196" s="525" customFormat="1" ht="16.2" hidden="1" customHeight="1" outlineLevel="1" x14ac:dyDescent="0.25">
      <c r="A301" s="1415" t="s">
        <v>771</v>
      </c>
      <c r="B301" s="1415" t="s">
        <v>192</v>
      </c>
      <c r="C301" s="1416">
        <v>6454</v>
      </c>
      <c r="D301" s="1416">
        <f>C301-G301</f>
        <v>0</v>
      </c>
      <c r="E301" s="538"/>
      <c r="F301" s="1103" t="s">
        <v>665</v>
      </c>
      <c r="G301" s="301">
        <v>6454</v>
      </c>
      <c r="H301" s="505">
        <v>6454</v>
      </c>
      <c r="I301" s="513">
        <f t="shared" ref="I301:I303" si="41">H301-G301</f>
        <v>0</v>
      </c>
      <c r="J301" s="892">
        <f t="shared" si="37"/>
        <v>0</v>
      </c>
      <c r="K301" s="1468"/>
      <c r="L301" s="1417"/>
      <c r="M301" s="1122"/>
      <c r="N301" s="515"/>
      <c r="O301" s="515"/>
      <c r="P301" s="515"/>
      <c r="Q301" s="515"/>
      <c r="R301" s="515"/>
      <c r="S301" s="515"/>
      <c r="T301" s="515"/>
      <c r="U301" s="515"/>
      <c r="V301" s="515"/>
      <c r="W301" s="515"/>
      <c r="X301" s="515"/>
      <c r="Y301" s="515"/>
      <c r="Z301" s="515"/>
      <c r="AA301" s="515"/>
      <c r="AB301" s="515"/>
      <c r="AC301" s="515"/>
      <c r="AD301" s="515"/>
      <c r="AE301" s="515"/>
      <c r="AF301" s="515"/>
      <c r="AG301" s="515"/>
      <c r="AH301" s="515"/>
      <c r="AI301" s="515"/>
      <c r="AJ301" s="515"/>
      <c r="AK301" s="515"/>
      <c r="AL301" s="515"/>
      <c r="AM301" s="515"/>
      <c r="AN301" s="515"/>
      <c r="AO301" s="515"/>
      <c r="AP301" s="515"/>
      <c r="AQ301" s="515"/>
      <c r="AR301" s="515"/>
      <c r="AS301" s="515"/>
      <c r="AT301" s="515"/>
      <c r="AU301" s="515"/>
      <c r="AV301" s="515"/>
      <c r="AW301" s="515"/>
      <c r="AX301" s="515"/>
      <c r="AY301" s="515"/>
      <c r="AZ301" s="515"/>
      <c r="BA301" s="515"/>
      <c r="BB301" s="515"/>
      <c r="BC301" s="515"/>
      <c r="BD301" s="515"/>
      <c r="BE301" s="515"/>
      <c r="BF301" s="515"/>
      <c r="BG301" s="515"/>
      <c r="BH301" s="515"/>
      <c r="BI301" s="515"/>
      <c r="BJ301" s="515"/>
      <c r="BK301" s="515"/>
      <c r="BL301" s="515"/>
      <c r="BM301" s="515"/>
      <c r="BN301" s="515"/>
      <c r="BO301" s="515"/>
      <c r="BP301" s="515"/>
      <c r="BQ301" s="515"/>
      <c r="BR301" s="515"/>
      <c r="BS301" s="515"/>
      <c r="BT301" s="515"/>
      <c r="BU301" s="515"/>
      <c r="BV301" s="515"/>
      <c r="BW301" s="515"/>
      <c r="BX301" s="515"/>
      <c r="BY301" s="515"/>
      <c r="BZ301" s="515"/>
      <c r="CA301" s="515"/>
      <c r="CB301" s="515"/>
      <c r="CC301" s="515"/>
      <c r="CD301" s="515"/>
      <c r="CE301" s="515"/>
      <c r="CF301" s="515"/>
      <c r="CG301" s="515"/>
      <c r="CH301" s="515"/>
      <c r="CI301" s="515"/>
      <c r="CJ301" s="515"/>
      <c r="CK301" s="515"/>
      <c r="CL301" s="515"/>
      <c r="CM301" s="515"/>
      <c r="CN301" s="515"/>
      <c r="CO301" s="515"/>
      <c r="CP301" s="515"/>
      <c r="CQ301" s="515"/>
      <c r="CR301" s="515"/>
      <c r="CS301" s="515"/>
      <c r="CT301" s="515"/>
      <c r="CU301" s="515"/>
      <c r="CV301" s="515"/>
      <c r="CW301" s="515"/>
      <c r="CX301" s="515"/>
      <c r="CY301" s="515"/>
      <c r="CZ301" s="515"/>
      <c r="DA301" s="515"/>
      <c r="DB301" s="515"/>
      <c r="DC301" s="515"/>
      <c r="DD301" s="515"/>
      <c r="DE301" s="515"/>
      <c r="DF301" s="515"/>
      <c r="DG301" s="515"/>
      <c r="DH301" s="515"/>
      <c r="DI301" s="515"/>
      <c r="DJ301" s="515"/>
      <c r="DK301" s="515"/>
      <c r="DL301" s="515"/>
      <c r="DM301" s="515"/>
      <c r="DN301" s="515"/>
      <c r="DO301" s="515"/>
      <c r="DP301" s="515"/>
      <c r="DQ301" s="515"/>
      <c r="DR301" s="515"/>
      <c r="DS301" s="515"/>
      <c r="DT301" s="515"/>
      <c r="DU301" s="515"/>
      <c r="DV301" s="515"/>
      <c r="DW301" s="515"/>
      <c r="DX301" s="515"/>
      <c r="DY301" s="515"/>
      <c r="DZ301" s="515"/>
      <c r="EA301" s="515"/>
      <c r="EB301" s="515"/>
      <c r="EC301" s="515"/>
      <c r="ED301" s="515"/>
      <c r="EE301" s="515"/>
      <c r="EF301" s="515"/>
      <c r="EG301" s="515"/>
      <c r="EH301" s="515"/>
      <c r="EI301" s="515"/>
      <c r="EJ301" s="515"/>
      <c r="EK301" s="515"/>
      <c r="EL301" s="515"/>
      <c r="EM301" s="515"/>
      <c r="EN301" s="515"/>
      <c r="EO301" s="515"/>
      <c r="EP301" s="515"/>
      <c r="EQ301" s="515"/>
      <c r="ER301" s="515"/>
      <c r="ES301" s="515"/>
      <c r="ET301" s="515"/>
      <c r="EU301" s="515"/>
      <c r="EV301" s="515"/>
      <c r="EW301" s="515"/>
      <c r="EX301" s="515"/>
      <c r="EY301" s="515"/>
      <c r="EZ301" s="515"/>
      <c r="FA301" s="515"/>
      <c r="FB301" s="515"/>
      <c r="FC301" s="515"/>
      <c r="FD301" s="515"/>
      <c r="FE301" s="515"/>
      <c r="FF301" s="515"/>
      <c r="FG301" s="515"/>
      <c r="FH301" s="515"/>
      <c r="FI301" s="515"/>
      <c r="FJ301" s="515"/>
      <c r="FK301" s="515"/>
      <c r="FL301" s="515"/>
      <c r="FM301" s="515"/>
      <c r="FN301" s="515"/>
      <c r="FO301" s="515"/>
      <c r="FP301" s="515"/>
      <c r="FQ301" s="515"/>
      <c r="FR301" s="515"/>
      <c r="FS301" s="515"/>
      <c r="FT301" s="515"/>
      <c r="FU301" s="515"/>
      <c r="FV301" s="515"/>
      <c r="FW301" s="515"/>
      <c r="FX301" s="515"/>
      <c r="FY301" s="515"/>
      <c r="FZ301" s="515"/>
      <c r="GA301" s="515"/>
      <c r="GB301" s="515"/>
      <c r="GC301" s="515"/>
      <c r="GD301" s="515"/>
      <c r="GE301" s="515"/>
      <c r="GF301" s="515"/>
      <c r="GG301" s="515"/>
      <c r="GH301" s="515"/>
      <c r="GI301" s="515"/>
      <c r="GJ301" s="515"/>
      <c r="GK301" s="515"/>
      <c r="GL301" s="515"/>
      <c r="GM301" s="515"/>
      <c r="GN301" s="515"/>
    </row>
    <row r="302" spans="1:196" s="525" customFormat="1" ht="16.2" hidden="1" customHeight="1" outlineLevel="1" x14ac:dyDescent="0.25">
      <c r="A302" s="1415" t="s">
        <v>752</v>
      </c>
      <c r="B302" s="1415" t="s">
        <v>192</v>
      </c>
      <c r="C302" s="1416">
        <v>19200</v>
      </c>
      <c r="D302" s="1416">
        <f>C302-G302</f>
        <v>0</v>
      </c>
      <c r="E302" s="1466"/>
      <c r="F302" s="1423" t="s">
        <v>1162</v>
      </c>
      <c r="G302" s="301">
        <v>19200</v>
      </c>
      <c r="H302" s="505">
        <v>19200</v>
      </c>
      <c r="I302" s="513">
        <f t="shared" ref="I302" si="42">H302-G302</f>
        <v>0</v>
      </c>
      <c r="J302" s="892">
        <f t="shared" ref="J302" si="43">IFERROR(I302/G302,"-")</f>
        <v>0</v>
      </c>
      <c r="K302" s="1469"/>
      <c r="L302" s="1417"/>
      <c r="M302" s="1122"/>
      <c r="N302" s="515"/>
      <c r="O302" s="515"/>
      <c r="P302" s="515"/>
      <c r="Q302" s="515"/>
      <c r="R302" s="515"/>
      <c r="S302" s="515"/>
      <c r="T302" s="515"/>
      <c r="U302" s="515"/>
      <c r="V302" s="515"/>
      <c r="W302" s="515"/>
      <c r="X302" s="515"/>
      <c r="Y302" s="515"/>
      <c r="Z302" s="515"/>
      <c r="AA302" s="515"/>
      <c r="AB302" s="515"/>
      <c r="AC302" s="515"/>
      <c r="AD302" s="515"/>
      <c r="AE302" s="515"/>
      <c r="AF302" s="515"/>
      <c r="AG302" s="515"/>
      <c r="AH302" s="515"/>
      <c r="AI302" s="515"/>
      <c r="AJ302" s="515"/>
      <c r="AK302" s="515"/>
      <c r="AL302" s="515"/>
      <c r="AM302" s="515"/>
      <c r="AN302" s="515"/>
      <c r="AO302" s="515"/>
      <c r="AP302" s="515"/>
      <c r="AQ302" s="515"/>
      <c r="AR302" s="515"/>
      <c r="AS302" s="515"/>
      <c r="AT302" s="515"/>
      <c r="AU302" s="515"/>
      <c r="AV302" s="515"/>
      <c r="AW302" s="515"/>
      <c r="AX302" s="515"/>
      <c r="AY302" s="515"/>
      <c r="AZ302" s="515"/>
      <c r="BA302" s="515"/>
      <c r="BB302" s="515"/>
      <c r="BC302" s="515"/>
      <c r="BD302" s="515"/>
      <c r="BE302" s="515"/>
      <c r="BF302" s="515"/>
      <c r="BG302" s="515"/>
      <c r="BH302" s="515"/>
      <c r="BI302" s="515"/>
      <c r="BJ302" s="515"/>
      <c r="BK302" s="515"/>
      <c r="BL302" s="515"/>
      <c r="BM302" s="515"/>
      <c r="BN302" s="515"/>
      <c r="BO302" s="515"/>
      <c r="BP302" s="515"/>
      <c r="BQ302" s="515"/>
      <c r="BR302" s="515"/>
      <c r="BS302" s="515"/>
      <c r="BT302" s="515"/>
      <c r="BU302" s="515"/>
      <c r="BV302" s="515"/>
      <c r="BW302" s="515"/>
      <c r="BX302" s="515"/>
      <c r="BY302" s="515"/>
      <c r="BZ302" s="515"/>
      <c r="CA302" s="515"/>
      <c r="CB302" s="515"/>
      <c r="CC302" s="515"/>
      <c r="CD302" s="515"/>
      <c r="CE302" s="515"/>
      <c r="CF302" s="515"/>
      <c r="CG302" s="515"/>
      <c r="CH302" s="515"/>
      <c r="CI302" s="515"/>
      <c r="CJ302" s="515"/>
      <c r="CK302" s="515"/>
      <c r="CL302" s="515"/>
      <c r="CM302" s="515"/>
      <c r="CN302" s="515"/>
      <c r="CO302" s="515"/>
      <c r="CP302" s="515"/>
      <c r="CQ302" s="515"/>
      <c r="CR302" s="515"/>
      <c r="CS302" s="515"/>
      <c r="CT302" s="515"/>
      <c r="CU302" s="515"/>
      <c r="CV302" s="515"/>
      <c r="CW302" s="515"/>
      <c r="CX302" s="515"/>
      <c r="CY302" s="515"/>
      <c r="CZ302" s="515"/>
      <c r="DA302" s="515"/>
      <c r="DB302" s="515"/>
      <c r="DC302" s="515"/>
      <c r="DD302" s="515"/>
      <c r="DE302" s="515"/>
      <c r="DF302" s="515"/>
      <c r="DG302" s="515"/>
      <c r="DH302" s="515"/>
      <c r="DI302" s="515"/>
      <c r="DJ302" s="515"/>
      <c r="DK302" s="515"/>
      <c r="DL302" s="515"/>
      <c r="DM302" s="515"/>
      <c r="DN302" s="515"/>
      <c r="DO302" s="515"/>
      <c r="DP302" s="515"/>
      <c r="DQ302" s="515"/>
      <c r="DR302" s="515"/>
      <c r="DS302" s="515"/>
      <c r="DT302" s="515"/>
      <c r="DU302" s="515"/>
      <c r="DV302" s="515"/>
      <c r="DW302" s="515"/>
      <c r="DX302" s="515"/>
      <c r="DY302" s="515"/>
      <c r="DZ302" s="515"/>
      <c r="EA302" s="515"/>
      <c r="EB302" s="515"/>
      <c r="EC302" s="515"/>
      <c r="ED302" s="515"/>
      <c r="EE302" s="515"/>
      <c r="EF302" s="515"/>
      <c r="EG302" s="515"/>
      <c r="EH302" s="515"/>
      <c r="EI302" s="515"/>
      <c r="EJ302" s="515"/>
      <c r="EK302" s="515"/>
      <c r="EL302" s="515"/>
      <c r="EM302" s="515"/>
      <c r="EN302" s="515"/>
      <c r="EO302" s="515"/>
      <c r="EP302" s="515"/>
      <c r="EQ302" s="515"/>
      <c r="ER302" s="515"/>
      <c r="ES302" s="515"/>
      <c r="ET302" s="515"/>
      <c r="EU302" s="515"/>
      <c r="EV302" s="515"/>
      <c r="EW302" s="515"/>
      <c r="EX302" s="515"/>
      <c r="EY302" s="515"/>
      <c r="EZ302" s="515"/>
      <c r="FA302" s="515"/>
      <c r="FB302" s="515"/>
      <c r="FC302" s="515"/>
      <c r="FD302" s="515"/>
      <c r="FE302" s="515"/>
      <c r="FF302" s="515"/>
      <c r="FG302" s="515"/>
      <c r="FH302" s="515"/>
      <c r="FI302" s="515"/>
      <c r="FJ302" s="515"/>
      <c r="FK302" s="515"/>
      <c r="FL302" s="515"/>
      <c r="FM302" s="515"/>
      <c r="FN302" s="515"/>
      <c r="FO302" s="515"/>
      <c r="FP302" s="515"/>
      <c r="FQ302" s="515"/>
      <c r="FR302" s="515"/>
      <c r="FS302" s="515"/>
      <c r="FT302" s="515"/>
      <c r="FU302" s="515"/>
      <c r="FV302" s="515"/>
      <c r="FW302" s="515"/>
      <c r="FX302" s="515"/>
      <c r="FY302" s="515"/>
      <c r="FZ302" s="515"/>
      <c r="GA302" s="515"/>
      <c r="GB302" s="515"/>
      <c r="GC302" s="515"/>
      <c r="GD302" s="515"/>
      <c r="GE302" s="515"/>
      <c r="GF302" s="515"/>
      <c r="GG302" s="515"/>
      <c r="GH302" s="515"/>
      <c r="GI302" s="515"/>
      <c r="GJ302" s="515"/>
      <c r="GK302" s="515"/>
      <c r="GL302" s="515"/>
      <c r="GM302" s="515"/>
      <c r="GN302" s="515"/>
    </row>
    <row r="303" spans="1:196" s="525" customFormat="1" ht="16.2" hidden="1" customHeight="1" outlineLevel="1" x14ac:dyDescent="0.25">
      <c r="A303" s="1415" t="s">
        <v>788</v>
      </c>
      <c r="B303" s="1415" t="s">
        <v>192</v>
      </c>
      <c r="C303" s="1416">
        <v>1127560</v>
      </c>
      <c r="D303" s="1416">
        <f>C303-G303</f>
        <v>0</v>
      </c>
      <c r="E303" s="1466"/>
      <c r="F303" s="1423" t="s">
        <v>1161</v>
      </c>
      <c r="G303" s="301">
        <v>1127560</v>
      </c>
      <c r="H303" s="505">
        <v>662876</v>
      </c>
      <c r="I303" s="513">
        <f t="shared" si="41"/>
        <v>-464684</v>
      </c>
      <c r="J303" s="892">
        <f t="shared" si="37"/>
        <v>-0.41211465465252406</v>
      </c>
      <c r="K303" s="1469"/>
      <c r="L303" s="1417"/>
      <c r="M303" s="1122"/>
      <c r="N303" s="515"/>
      <c r="O303" s="515"/>
      <c r="P303" s="515"/>
      <c r="Q303" s="515"/>
      <c r="R303" s="515"/>
      <c r="S303" s="515"/>
      <c r="T303" s="515"/>
      <c r="U303" s="515"/>
      <c r="V303" s="515"/>
      <c r="W303" s="515"/>
      <c r="X303" s="515"/>
      <c r="Y303" s="515"/>
      <c r="Z303" s="515"/>
      <c r="AA303" s="515"/>
      <c r="AB303" s="515"/>
      <c r="AC303" s="515"/>
      <c r="AD303" s="515"/>
      <c r="AE303" s="515"/>
      <c r="AF303" s="515"/>
      <c r="AG303" s="515"/>
      <c r="AH303" s="515"/>
      <c r="AI303" s="515"/>
      <c r="AJ303" s="515"/>
      <c r="AK303" s="515"/>
      <c r="AL303" s="515"/>
      <c r="AM303" s="515"/>
      <c r="AN303" s="515"/>
      <c r="AO303" s="515"/>
      <c r="AP303" s="515"/>
      <c r="AQ303" s="515"/>
      <c r="AR303" s="515"/>
      <c r="AS303" s="515"/>
      <c r="AT303" s="515"/>
      <c r="AU303" s="515"/>
      <c r="AV303" s="515"/>
      <c r="AW303" s="515"/>
      <c r="AX303" s="515"/>
      <c r="AY303" s="515"/>
      <c r="AZ303" s="515"/>
      <c r="BA303" s="515"/>
      <c r="BB303" s="515"/>
      <c r="BC303" s="515"/>
      <c r="BD303" s="515"/>
      <c r="BE303" s="515"/>
      <c r="BF303" s="515"/>
      <c r="BG303" s="515"/>
      <c r="BH303" s="515"/>
      <c r="BI303" s="515"/>
      <c r="BJ303" s="515"/>
      <c r="BK303" s="515"/>
      <c r="BL303" s="515"/>
      <c r="BM303" s="515"/>
      <c r="BN303" s="515"/>
      <c r="BO303" s="515"/>
      <c r="BP303" s="515"/>
      <c r="BQ303" s="515"/>
      <c r="BR303" s="515"/>
      <c r="BS303" s="515"/>
      <c r="BT303" s="515"/>
      <c r="BU303" s="515"/>
      <c r="BV303" s="515"/>
      <c r="BW303" s="515"/>
      <c r="BX303" s="515"/>
      <c r="BY303" s="515"/>
      <c r="BZ303" s="515"/>
      <c r="CA303" s="515"/>
      <c r="CB303" s="515"/>
      <c r="CC303" s="515"/>
      <c r="CD303" s="515"/>
      <c r="CE303" s="515"/>
      <c r="CF303" s="515"/>
      <c r="CG303" s="515"/>
      <c r="CH303" s="515"/>
      <c r="CI303" s="515"/>
      <c r="CJ303" s="515"/>
      <c r="CK303" s="515"/>
      <c r="CL303" s="515"/>
      <c r="CM303" s="515"/>
      <c r="CN303" s="515"/>
      <c r="CO303" s="515"/>
      <c r="CP303" s="515"/>
      <c r="CQ303" s="515"/>
      <c r="CR303" s="515"/>
      <c r="CS303" s="515"/>
      <c r="CT303" s="515"/>
      <c r="CU303" s="515"/>
      <c r="CV303" s="515"/>
      <c r="CW303" s="515"/>
      <c r="CX303" s="515"/>
      <c r="CY303" s="515"/>
      <c r="CZ303" s="515"/>
      <c r="DA303" s="515"/>
      <c r="DB303" s="515"/>
      <c r="DC303" s="515"/>
      <c r="DD303" s="515"/>
      <c r="DE303" s="515"/>
      <c r="DF303" s="515"/>
      <c r="DG303" s="515"/>
      <c r="DH303" s="515"/>
      <c r="DI303" s="515"/>
      <c r="DJ303" s="515"/>
      <c r="DK303" s="515"/>
      <c r="DL303" s="515"/>
      <c r="DM303" s="515"/>
      <c r="DN303" s="515"/>
      <c r="DO303" s="515"/>
      <c r="DP303" s="515"/>
      <c r="DQ303" s="515"/>
      <c r="DR303" s="515"/>
      <c r="DS303" s="515"/>
      <c r="DT303" s="515"/>
      <c r="DU303" s="515"/>
      <c r="DV303" s="515"/>
      <c r="DW303" s="515"/>
      <c r="DX303" s="515"/>
      <c r="DY303" s="515"/>
      <c r="DZ303" s="515"/>
      <c r="EA303" s="515"/>
      <c r="EB303" s="515"/>
      <c r="EC303" s="515"/>
      <c r="ED303" s="515"/>
      <c r="EE303" s="515"/>
      <c r="EF303" s="515"/>
      <c r="EG303" s="515"/>
      <c r="EH303" s="515"/>
      <c r="EI303" s="515"/>
      <c r="EJ303" s="515"/>
      <c r="EK303" s="515"/>
      <c r="EL303" s="515"/>
      <c r="EM303" s="515"/>
      <c r="EN303" s="515"/>
      <c r="EO303" s="515"/>
      <c r="EP303" s="515"/>
      <c r="EQ303" s="515"/>
      <c r="ER303" s="515"/>
      <c r="ES303" s="515"/>
      <c r="ET303" s="515"/>
      <c r="EU303" s="515"/>
      <c r="EV303" s="515"/>
      <c r="EW303" s="515"/>
      <c r="EX303" s="515"/>
      <c r="EY303" s="515"/>
      <c r="EZ303" s="515"/>
      <c r="FA303" s="515"/>
      <c r="FB303" s="515"/>
      <c r="FC303" s="515"/>
      <c r="FD303" s="515"/>
      <c r="FE303" s="515"/>
      <c r="FF303" s="515"/>
      <c r="FG303" s="515"/>
      <c r="FH303" s="515"/>
      <c r="FI303" s="515"/>
      <c r="FJ303" s="515"/>
      <c r="FK303" s="515"/>
      <c r="FL303" s="515"/>
      <c r="FM303" s="515"/>
      <c r="FN303" s="515"/>
      <c r="FO303" s="515"/>
      <c r="FP303" s="515"/>
      <c r="FQ303" s="515"/>
      <c r="FR303" s="515"/>
      <c r="FS303" s="515"/>
      <c r="FT303" s="515"/>
      <c r="FU303" s="515"/>
      <c r="FV303" s="515"/>
      <c r="FW303" s="515"/>
      <c r="FX303" s="515"/>
      <c r="FY303" s="515"/>
      <c r="FZ303" s="515"/>
      <c r="GA303" s="515"/>
      <c r="GB303" s="515"/>
      <c r="GC303" s="515"/>
      <c r="GD303" s="515"/>
      <c r="GE303" s="515"/>
      <c r="GF303" s="515"/>
      <c r="GG303" s="515"/>
      <c r="GH303" s="515"/>
      <c r="GI303" s="515"/>
      <c r="GJ303" s="515"/>
      <c r="GK303" s="515"/>
      <c r="GL303" s="515"/>
      <c r="GM303" s="515"/>
      <c r="GN303" s="515"/>
    </row>
    <row r="304" spans="1:196" ht="13.8" collapsed="1" x14ac:dyDescent="0.25">
      <c r="C304" s="923">
        <f>1495423-G309</f>
        <v>1074114</v>
      </c>
      <c r="D304" s="923">
        <f>C304-G304</f>
        <v>5670.7199999999721</v>
      </c>
      <c r="E304" s="151" t="s">
        <v>1181</v>
      </c>
      <c r="F304" s="145" t="s">
        <v>201</v>
      </c>
      <c r="G304" s="302">
        <v>1068443.28</v>
      </c>
      <c r="H304" s="302">
        <v>1369348.1993700501</v>
      </c>
      <c r="I304" s="302">
        <f t="shared" si="38"/>
        <v>300904.91937005008</v>
      </c>
      <c r="J304" s="867">
        <f t="shared" si="37"/>
        <v>0.28162928720937819</v>
      </c>
      <c r="K304" s="220"/>
      <c r="L304" s="224"/>
    </row>
    <row r="305" spans="1:196" s="104" customFormat="1" ht="13.8" hidden="1" outlineLevel="1" x14ac:dyDescent="0.25">
      <c r="A305" s="810" t="s">
        <v>748</v>
      </c>
      <c r="B305" s="810" t="s">
        <v>228</v>
      </c>
      <c r="C305" s="923"/>
      <c r="D305" s="923"/>
      <c r="E305" s="159"/>
      <c r="F305" s="215" t="s">
        <v>228</v>
      </c>
      <c r="G305" s="296">
        <v>588486</v>
      </c>
      <c r="H305" s="304">
        <v>730467.80937004997</v>
      </c>
      <c r="I305" s="439">
        <f t="shared" si="38"/>
        <v>141981.80937004997</v>
      </c>
      <c r="J305" s="894">
        <f t="shared" si="37"/>
        <v>0.24126624825407908</v>
      </c>
      <c r="K305" s="319"/>
      <c r="L305" s="224"/>
      <c r="M305" s="107"/>
      <c r="N305">
        <v>730467.80937004997</v>
      </c>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row>
    <row r="306" spans="1:196" s="104" customFormat="1" ht="110.4" hidden="1" outlineLevel="1" x14ac:dyDescent="0.25">
      <c r="A306" s="810" t="s">
        <v>748</v>
      </c>
      <c r="B306" s="810" t="s">
        <v>554</v>
      </c>
      <c r="C306" s="923"/>
      <c r="D306" s="923"/>
      <c r="E306" s="214"/>
      <c r="F306" s="160" t="s">
        <v>198</v>
      </c>
      <c r="G306" s="296">
        <v>475577.28</v>
      </c>
      <c r="H306" s="304">
        <v>617864.06000000006</v>
      </c>
      <c r="I306" s="439">
        <f t="shared" si="38"/>
        <v>142286.78000000003</v>
      </c>
      <c r="J306" s="894">
        <f t="shared" si="37"/>
        <v>0.29918750534087757</v>
      </c>
      <c r="K306" s="458" t="s">
        <v>1654</v>
      </c>
      <c r="L306" s="224"/>
      <c r="M306" s="107"/>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row>
    <row r="307" spans="1:196" s="104" customFormat="1" ht="13.8" hidden="1" outlineLevel="1" x14ac:dyDescent="0.25">
      <c r="A307" s="810" t="s">
        <v>748</v>
      </c>
      <c r="B307" s="810" t="s">
        <v>556</v>
      </c>
      <c r="C307" s="923"/>
      <c r="D307" s="923"/>
      <c r="E307" s="159"/>
      <c r="F307" s="160" t="s">
        <v>197</v>
      </c>
      <c r="G307" s="296">
        <v>4380</v>
      </c>
      <c r="H307" s="304">
        <v>21016.33</v>
      </c>
      <c r="I307" s="439">
        <f t="shared" si="38"/>
        <v>16636.330000000002</v>
      </c>
      <c r="J307" s="894">
        <f t="shared" si="37"/>
        <v>3.7982488584474892</v>
      </c>
      <c r="K307" s="218"/>
      <c r="L307" s="224"/>
      <c r="M307" s="1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row>
    <row r="308" spans="1:196" s="525" customFormat="1" ht="13.8" hidden="1" outlineLevel="1" x14ac:dyDescent="0.25">
      <c r="A308" s="1415" t="s">
        <v>749</v>
      </c>
      <c r="B308" s="1415" t="s">
        <v>182</v>
      </c>
      <c r="C308" s="1416">
        <v>3143237</v>
      </c>
      <c r="D308" s="1416">
        <f>C308-G308</f>
        <v>113</v>
      </c>
      <c r="E308" s="523"/>
      <c r="F308" s="520" t="s">
        <v>167</v>
      </c>
      <c r="G308" s="505">
        <v>3143124</v>
      </c>
      <c r="H308" s="505">
        <v>3750643.0000000005</v>
      </c>
      <c r="I308" s="513">
        <f t="shared" si="38"/>
        <v>607519.00000000047</v>
      </c>
      <c r="J308" s="892">
        <f t="shared" si="37"/>
        <v>0.19328508833886301</v>
      </c>
      <c r="K308" s="1458"/>
      <c r="L308" s="1417"/>
      <c r="M308" s="1122"/>
      <c r="N308" s="515"/>
      <c r="O308" s="515"/>
      <c r="P308" s="515"/>
      <c r="Q308" s="515"/>
      <c r="R308" s="515"/>
      <c r="S308" s="515"/>
      <c r="T308" s="515"/>
      <c r="U308" s="515"/>
      <c r="V308" s="515"/>
      <c r="W308" s="515"/>
      <c r="X308" s="515"/>
      <c r="Y308" s="515"/>
      <c r="Z308" s="515"/>
      <c r="AA308" s="515"/>
      <c r="AB308" s="515"/>
      <c r="AC308" s="515"/>
      <c r="AD308" s="515"/>
      <c r="AE308" s="515"/>
      <c r="AF308" s="515"/>
      <c r="AG308" s="515"/>
      <c r="AH308" s="515"/>
      <c r="AI308" s="515"/>
      <c r="AJ308" s="515"/>
      <c r="AK308" s="515"/>
      <c r="AL308" s="515"/>
      <c r="AM308" s="515"/>
      <c r="AN308" s="515"/>
      <c r="AO308" s="515"/>
      <c r="AP308" s="515"/>
      <c r="AQ308" s="515"/>
      <c r="AR308" s="515"/>
      <c r="AS308" s="515"/>
      <c r="AT308" s="515"/>
      <c r="AU308" s="515"/>
      <c r="AV308" s="515"/>
      <c r="AW308" s="515"/>
      <c r="AX308" s="515"/>
      <c r="AY308" s="515"/>
      <c r="AZ308" s="515"/>
      <c r="BA308" s="515"/>
      <c r="BB308" s="515"/>
      <c r="BC308" s="515"/>
      <c r="BD308" s="515"/>
      <c r="BE308" s="515"/>
      <c r="BF308" s="515"/>
      <c r="BG308" s="515"/>
      <c r="BH308" s="515"/>
      <c r="BI308" s="515"/>
      <c r="BJ308" s="515"/>
      <c r="BK308" s="515"/>
      <c r="BL308" s="515"/>
      <c r="BM308" s="515"/>
      <c r="BN308" s="515"/>
      <c r="BO308" s="515"/>
      <c r="BP308" s="515"/>
      <c r="BQ308" s="515"/>
      <c r="BR308" s="515"/>
      <c r="BS308" s="515"/>
      <c r="BT308" s="515"/>
      <c r="BU308" s="515"/>
      <c r="BV308" s="515"/>
      <c r="BW308" s="515"/>
      <c r="BX308" s="515"/>
      <c r="BY308" s="515"/>
      <c r="BZ308" s="515"/>
      <c r="CA308" s="515"/>
      <c r="CB308" s="515"/>
      <c r="CC308" s="515"/>
      <c r="CD308" s="515"/>
      <c r="CE308" s="515"/>
      <c r="CF308" s="515"/>
      <c r="CG308" s="515"/>
      <c r="CH308" s="515"/>
      <c r="CI308" s="515"/>
      <c r="CJ308" s="515"/>
      <c r="CK308" s="515"/>
      <c r="CL308" s="515"/>
      <c r="CM308" s="515"/>
      <c r="CN308" s="515"/>
      <c r="CO308" s="515"/>
      <c r="CP308" s="515"/>
      <c r="CQ308" s="515"/>
      <c r="CR308" s="515"/>
      <c r="CS308" s="515"/>
      <c r="CT308" s="515"/>
      <c r="CU308" s="515"/>
      <c r="CV308" s="515"/>
      <c r="CW308" s="515"/>
      <c r="CX308" s="515"/>
      <c r="CY308" s="515"/>
      <c r="CZ308" s="515"/>
      <c r="DA308" s="515"/>
      <c r="DB308" s="515"/>
      <c r="DC308" s="515"/>
      <c r="DD308" s="515"/>
      <c r="DE308" s="515"/>
      <c r="DF308" s="515"/>
      <c r="DG308" s="515"/>
      <c r="DH308" s="515"/>
      <c r="DI308" s="515"/>
      <c r="DJ308" s="515"/>
      <c r="DK308" s="515"/>
      <c r="DL308" s="515"/>
      <c r="DM308" s="515"/>
      <c r="DN308" s="515"/>
      <c r="DO308" s="515"/>
      <c r="DP308" s="515"/>
      <c r="DQ308" s="515"/>
      <c r="DR308" s="515"/>
      <c r="DS308" s="515"/>
      <c r="DT308" s="515"/>
      <c r="DU308" s="515"/>
      <c r="DV308" s="515"/>
      <c r="DW308" s="515"/>
      <c r="DX308" s="515"/>
      <c r="DY308" s="515"/>
      <c r="DZ308" s="515"/>
      <c r="EA308" s="515"/>
      <c r="EB308" s="515"/>
      <c r="EC308" s="515"/>
      <c r="ED308" s="515"/>
      <c r="EE308" s="515"/>
      <c r="EF308" s="515"/>
      <c r="EG308" s="515"/>
      <c r="EH308" s="515"/>
      <c r="EI308" s="515"/>
      <c r="EJ308" s="515"/>
      <c r="EK308" s="515"/>
      <c r="EL308" s="515"/>
      <c r="EM308" s="515"/>
      <c r="EN308" s="515"/>
      <c r="EO308" s="515"/>
      <c r="EP308" s="515"/>
      <c r="EQ308" s="515"/>
      <c r="ER308" s="515"/>
      <c r="ES308" s="515"/>
      <c r="ET308" s="515"/>
      <c r="EU308" s="515"/>
      <c r="EV308" s="515"/>
      <c r="EW308" s="515"/>
      <c r="EX308" s="515"/>
      <c r="EY308" s="515"/>
      <c r="EZ308" s="515"/>
      <c r="FA308" s="515"/>
      <c r="FB308" s="515"/>
      <c r="FC308" s="515"/>
      <c r="FD308" s="515"/>
      <c r="FE308" s="515"/>
      <c r="FF308" s="515"/>
      <c r="FG308" s="515"/>
      <c r="FH308" s="515"/>
      <c r="FI308" s="515"/>
      <c r="FJ308" s="515"/>
      <c r="FK308" s="515"/>
      <c r="FL308" s="515"/>
      <c r="FM308" s="515"/>
      <c r="FN308" s="515"/>
      <c r="FO308" s="515"/>
      <c r="FP308" s="515"/>
      <c r="FQ308" s="515"/>
      <c r="FR308" s="515"/>
      <c r="FS308" s="515"/>
      <c r="FT308" s="515"/>
      <c r="FU308" s="515"/>
      <c r="FV308" s="515"/>
      <c r="FW308" s="515"/>
      <c r="FX308" s="515"/>
      <c r="FY308" s="515"/>
      <c r="FZ308" s="515"/>
      <c r="GA308" s="515"/>
      <c r="GB308" s="515"/>
      <c r="GC308" s="515"/>
      <c r="GD308" s="515"/>
      <c r="GE308" s="515"/>
      <c r="GF308" s="515"/>
      <c r="GG308" s="515"/>
      <c r="GH308" s="515"/>
      <c r="GI308" s="515"/>
      <c r="GJ308" s="515"/>
      <c r="GK308" s="515"/>
      <c r="GL308" s="515"/>
      <c r="GM308" s="515"/>
      <c r="GN308" s="515"/>
    </row>
    <row r="309" spans="1:196" s="525" customFormat="1" ht="13.8" hidden="1" outlineLevel="1" x14ac:dyDescent="0.25">
      <c r="A309" s="1415" t="s">
        <v>748</v>
      </c>
      <c r="B309" s="1415" t="s">
        <v>555</v>
      </c>
      <c r="C309" s="1416"/>
      <c r="D309" s="1416"/>
      <c r="E309" s="523"/>
      <c r="F309" s="520" t="s">
        <v>555</v>
      </c>
      <c r="G309" s="505">
        <v>421309</v>
      </c>
      <c r="H309" s="505">
        <v>475050</v>
      </c>
      <c r="I309" s="513">
        <f>H309-G309</f>
        <v>53741</v>
      </c>
      <c r="J309" s="892">
        <f t="shared" si="37"/>
        <v>0.12755720860461087</v>
      </c>
      <c r="K309" s="1458"/>
      <c r="L309" s="1417"/>
      <c r="M309" s="1122"/>
      <c r="N309" s="515"/>
      <c r="O309" s="515"/>
      <c r="P309" s="515"/>
      <c r="Q309" s="515"/>
      <c r="R309" s="515"/>
      <c r="S309" s="515"/>
      <c r="T309" s="515"/>
      <c r="U309" s="515"/>
      <c r="V309" s="515"/>
      <c r="W309" s="515"/>
      <c r="X309" s="515"/>
      <c r="Y309" s="515"/>
      <c r="Z309" s="515"/>
      <c r="AA309" s="515"/>
      <c r="AB309" s="515"/>
      <c r="AC309" s="515"/>
      <c r="AD309" s="515"/>
      <c r="AE309" s="515"/>
      <c r="AF309" s="515"/>
      <c r="AG309" s="515"/>
      <c r="AH309" s="515"/>
      <c r="AI309" s="515"/>
      <c r="AJ309" s="515"/>
      <c r="AK309" s="515"/>
      <c r="AL309" s="515"/>
      <c r="AM309" s="515"/>
      <c r="AN309" s="515"/>
      <c r="AO309" s="515"/>
      <c r="AP309" s="515"/>
      <c r="AQ309" s="515"/>
      <c r="AR309" s="515"/>
      <c r="AS309" s="515"/>
      <c r="AT309" s="515"/>
      <c r="AU309" s="515"/>
      <c r="AV309" s="515"/>
      <c r="AW309" s="515"/>
      <c r="AX309" s="515"/>
      <c r="AY309" s="515"/>
      <c r="AZ309" s="515"/>
      <c r="BA309" s="515"/>
      <c r="BB309" s="515"/>
      <c r="BC309" s="515"/>
      <c r="BD309" s="515"/>
      <c r="BE309" s="515"/>
      <c r="BF309" s="515"/>
      <c r="BG309" s="515"/>
      <c r="BH309" s="515"/>
      <c r="BI309" s="515"/>
      <c r="BJ309" s="515"/>
      <c r="BK309" s="515"/>
      <c r="BL309" s="515"/>
      <c r="BM309" s="515"/>
      <c r="BN309" s="515"/>
      <c r="BO309" s="515"/>
      <c r="BP309" s="515"/>
      <c r="BQ309" s="515"/>
      <c r="BR309" s="515"/>
      <c r="BS309" s="515"/>
      <c r="BT309" s="515"/>
      <c r="BU309" s="515"/>
      <c r="BV309" s="515"/>
      <c r="BW309" s="515"/>
      <c r="BX309" s="515"/>
      <c r="BY309" s="515"/>
      <c r="BZ309" s="515"/>
      <c r="CA309" s="515"/>
      <c r="CB309" s="515"/>
      <c r="CC309" s="515"/>
      <c r="CD309" s="515"/>
      <c r="CE309" s="515"/>
      <c r="CF309" s="515"/>
      <c r="CG309" s="515"/>
      <c r="CH309" s="515"/>
      <c r="CI309" s="515"/>
      <c r="CJ309" s="515"/>
      <c r="CK309" s="515"/>
      <c r="CL309" s="515"/>
      <c r="CM309" s="515"/>
      <c r="CN309" s="515"/>
      <c r="CO309" s="515"/>
      <c r="CP309" s="515"/>
      <c r="CQ309" s="515"/>
      <c r="CR309" s="515"/>
      <c r="CS309" s="515"/>
      <c r="CT309" s="515"/>
      <c r="CU309" s="515"/>
      <c r="CV309" s="515"/>
      <c r="CW309" s="515"/>
      <c r="CX309" s="515"/>
      <c r="CY309" s="515"/>
      <c r="CZ309" s="515"/>
      <c r="DA309" s="515"/>
      <c r="DB309" s="515"/>
      <c r="DC309" s="515"/>
      <c r="DD309" s="515"/>
      <c r="DE309" s="515"/>
      <c r="DF309" s="515"/>
      <c r="DG309" s="515"/>
      <c r="DH309" s="515"/>
      <c r="DI309" s="515"/>
      <c r="DJ309" s="515"/>
      <c r="DK309" s="515"/>
      <c r="DL309" s="515"/>
      <c r="DM309" s="515"/>
      <c r="DN309" s="515"/>
      <c r="DO309" s="515"/>
      <c r="DP309" s="515"/>
      <c r="DQ309" s="515"/>
      <c r="DR309" s="515"/>
      <c r="DS309" s="515"/>
      <c r="DT309" s="515"/>
      <c r="DU309" s="515"/>
      <c r="DV309" s="515"/>
      <c r="DW309" s="515"/>
      <c r="DX309" s="515"/>
      <c r="DY309" s="515"/>
      <c r="DZ309" s="515"/>
      <c r="EA309" s="515"/>
      <c r="EB309" s="515"/>
      <c r="EC309" s="515"/>
      <c r="ED309" s="515"/>
      <c r="EE309" s="515"/>
      <c r="EF309" s="515"/>
      <c r="EG309" s="515"/>
      <c r="EH309" s="515"/>
      <c r="EI309" s="515"/>
      <c r="EJ309" s="515"/>
      <c r="EK309" s="515"/>
      <c r="EL309" s="515"/>
      <c r="EM309" s="515"/>
      <c r="EN309" s="515"/>
      <c r="EO309" s="515"/>
      <c r="EP309" s="515"/>
      <c r="EQ309" s="515"/>
      <c r="ER309" s="515"/>
      <c r="ES309" s="515"/>
      <c r="ET309" s="515"/>
      <c r="EU309" s="515"/>
      <c r="EV309" s="515"/>
      <c r="EW309" s="515"/>
      <c r="EX309" s="515"/>
      <c r="EY309" s="515"/>
      <c r="EZ309" s="515"/>
      <c r="FA309" s="515"/>
      <c r="FB309" s="515"/>
      <c r="FC309" s="515"/>
      <c r="FD309" s="515"/>
      <c r="FE309" s="515"/>
      <c r="FF309" s="515"/>
      <c r="FG309" s="515"/>
      <c r="FH309" s="515"/>
      <c r="FI309" s="515"/>
      <c r="FJ309" s="515"/>
      <c r="FK309" s="515"/>
      <c r="FL309" s="515"/>
      <c r="FM309" s="515"/>
      <c r="FN309" s="515"/>
      <c r="FO309" s="515"/>
      <c r="FP309" s="515"/>
      <c r="FQ309" s="515"/>
      <c r="FR309" s="515"/>
      <c r="FS309" s="515"/>
      <c r="FT309" s="515"/>
      <c r="FU309" s="515"/>
      <c r="FV309" s="515"/>
      <c r="FW309" s="515"/>
      <c r="FX309" s="515"/>
      <c r="FY309" s="515"/>
      <c r="FZ309" s="515"/>
      <c r="GA309" s="515"/>
      <c r="GB309" s="515"/>
      <c r="GC309" s="515"/>
      <c r="GD309" s="515"/>
      <c r="GE309" s="515"/>
      <c r="GF309" s="515"/>
      <c r="GG309" s="515"/>
      <c r="GH309" s="515"/>
      <c r="GI309" s="515"/>
      <c r="GJ309" s="515"/>
      <c r="GK309" s="515"/>
      <c r="GL309" s="515"/>
      <c r="GM309" s="515"/>
      <c r="GN309" s="515"/>
    </row>
    <row r="310" spans="1:196" s="525" customFormat="1" ht="13.8" hidden="1" outlineLevel="1" x14ac:dyDescent="0.25">
      <c r="A310" s="1415" t="s">
        <v>748</v>
      </c>
      <c r="B310" s="1415" t="s">
        <v>192</v>
      </c>
      <c r="C310" s="1416">
        <v>280551</v>
      </c>
      <c r="D310" s="1416">
        <f>C310-G310</f>
        <v>-5671.4099999999744</v>
      </c>
      <c r="E310" s="528"/>
      <c r="F310" s="1103" t="s">
        <v>43</v>
      </c>
      <c r="G310" s="505">
        <v>286222.40999999997</v>
      </c>
      <c r="H310" s="505">
        <v>0</v>
      </c>
      <c r="I310" s="513">
        <f t="shared" si="38"/>
        <v>-286222.40999999997</v>
      </c>
      <c r="J310" s="892">
        <f t="shared" si="37"/>
        <v>-1</v>
      </c>
      <c r="K310" s="1458"/>
      <c r="L310" s="1417"/>
      <c r="M310" s="1122"/>
      <c r="N310" s="515"/>
      <c r="O310" s="515"/>
      <c r="P310" s="515"/>
      <c r="Q310" s="515"/>
      <c r="R310" s="515"/>
      <c r="S310" s="515"/>
      <c r="T310" s="515"/>
      <c r="U310" s="515"/>
      <c r="V310" s="515"/>
      <c r="W310" s="515"/>
      <c r="X310" s="515"/>
      <c r="Y310" s="515"/>
      <c r="Z310" s="515"/>
      <c r="AA310" s="515"/>
      <c r="AB310" s="515"/>
      <c r="AC310" s="515"/>
      <c r="AD310" s="515"/>
      <c r="AE310" s="515"/>
      <c r="AF310" s="515"/>
      <c r="AG310" s="515"/>
      <c r="AH310" s="515"/>
      <c r="AI310" s="515"/>
      <c r="AJ310" s="515"/>
      <c r="AK310" s="515"/>
      <c r="AL310" s="515"/>
      <c r="AM310" s="515"/>
      <c r="AN310" s="515"/>
      <c r="AO310" s="515"/>
      <c r="AP310" s="515"/>
      <c r="AQ310" s="515"/>
      <c r="AR310" s="515"/>
      <c r="AS310" s="515"/>
      <c r="AT310" s="515"/>
      <c r="AU310" s="515"/>
      <c r="AV310" s="515"/>
      <c r="AW310" s="515"/>
      <c r="AX310" s="515"/>
      <c r="AY310" s="515"/>
      <c r="AZ310" s="515"/>
      <c r="BA310" s="515"/>
      <c r="BB310" s="515"/>
      <c r="BC310" s="515"/>
      <c r="BD310" s="515"/>
      <c r="BE310" s="515"/>
      <c r="BF310" s="515"/>
      <c r="BG310" s="515"/>
      <c r="BH310" s="515"/>
      <c r="BI310" s="515"/>
      <c r="BJ310" s="515"/>
      <c r="BK310" s="515"/>
      <c r="BL310" s="515"/>
      <c r="BM310" s="515"/>
      <c r="BN310" s="515"/>
      <c r="BO310" s="515"/>
      <c r="BP310" s="515"/>
      <c r="BQ310" s="515"/>
      <c r="BR310" s="515"/>
      <c r="BS310" s="515"/>
      <c r="BT310" s="515"/>
      <c r="BU310" s="515"/>
      <c r="BV310" s="515"/>
      <c r="BW310" s="515"/>
      <c r="BX310" s="515"/>
      <c r="BY310" s="515"/>
      <c r="BZ310" s="515"/>
      <c r="CA310" s="515"/>
      <c r="CB310" s="515"/>
      <c r="CC310" s="515"/>
      <c r="CD310" s="515"/>
      <c r="CE310" s="515"/>
      <c r="CF310" s="515"/>
      <c r="CG310" s="515"/>
      <c r="CH310" s="515"/>
      <c r="CI310" s="515"/>
      <c r="CJ310" s="515"/>
      <c r="CK310" s="515"/>
      <c r="CL310" s="515"/>
      <c r="CM310" s="515"/>
      <c r="CN310" s="515"/>
      <c r="CO310" s="515"/>
      <c r="CP310" s="515"/>
      <c r="CQ310" s="515"/>
      <c r="CR310" s="515"/>
      <c r="CS310" s="515"/>
      <c r="CT310" s="515"/>
      <c r="CU310" s="515"/>
      <c r="CV310" s="515"/>
      <c r="CW310" s="515"/>
      <c r="CX310" s="515"/>
      <c r="CY310" s="515"/>
      <c r="CZ310" s="515"/>
      <c r="DA310" s="515"/>
      <c r="DB310" s="515"/>
      <c r="DC310" s="515"/>
      <c r="DD310" s="515"/>
      <c r="DE310" s="515"/>
      <c r="DF310" s="515"/>
      <c r="DG310" s="515"/>
      <c r="DH310" s="515"/>
      <c r="DI310" s="515"/>
      <c r="DJ310" s="515"/>
      <c r="DK310" s="515"/>
      <c r="DL310" s="515"/>
      <c r="DM310" s="515"/>
      <c r="DN310" s="515"/>
      <c r="DO310" s="515"/>
      <c r="DP310" s="515"/>
      <c r="DQ310" s="515"/>
      <c r="DR310" s="515"/>
      <c r="DS310" s="515"/>
      <c r="DT310" s="515"/>
      <c r="DU310" s="515"/>
      <c r="DV310" s="515"/>
      <c r="DW310" s="515"/>
      <c r="DX310" s="515"/>
      <c r="DY310" s="515"/>
      <c r="DZ310" s="515"/>
      <c r="EA310" s="515"/>
      <c r="EB310" s="515"/>
      <c r="EC310" s="515"/>
      <c r="ED310" s="515"/>
      <c r="EE310" s="515"/>
      <c r="EF310" s="515"/>
      <c r="EG310" s="515"/>
      <c r="EH310" s="515"/>
      <c r="EI310" s="515"/>
      <c r="EJ310" s="515"/>
      <c r="EK310" s="515"/>
      <c r="EL310" s="515"/>
      <c r="EM310" s="515"/>
      <c r="EN310" s="515"/>
      <c r="EO310" s="515"/>
      <c r="EP310" s="515"/>
      <c r="EQ310" s="515"/>
      <c r="ER310" s="515"/>
      <c r="ES310" s="515"/>
      <c r="ET310" s="515"/>
      <c r="EU310" s="515"/>
      <c r="EV310" s="515"/>
      <c r="EW310" s="515"/>
      <c r="EX310" s="515"/>
      <c r="EY310" s="515"/>
      <c r="EZ310" s="515"/>
      <c r="FA310" s="515"/>
      <c r="FB310" s="515"/>
      <c r="FC310" s="515"/>
      <c r="FD310" s="515"/>
      <c r="FE310" s="515"/>
      <c r="FF310" s="515"/>
      <c r="FG310" s="515"/>
      <c r="FH310" s="515"/>
      <c r="FI310" s="515"/>
      <c r="FJ310" s="515"/>
      <c r="FK310" s="515"/>
      <c r="FL310" s="515"/>
      <c r="FM310" s="515"/>
      <c r="FN310" s="515"/>
      <c r="FO310" s="515"/>
      <c r="FP310" s="515"/>
      <c r="FQ310" s="515"/>
      <c r="FR310" s="515"/>
      <c r="FS310" s="515"/>
      <c r="FT310" s="515"/>
      <c r="FU310" s="515"/>
      <c r="FV310" s="515"/>
      <c r="FW310" s="515"/>
      <c r="FX310" s="515"/>
      <c r="FY310" s="515"/>
      <c r="FZ310" s="515"/>
      <c r="GA310" s="515"/>
      <c r="GB310" s="515"/>
      <c r="GC310" s="515"/>
      <c r="GD310" s="515"/>
      <c r="GE310" s="515"/>
      <c r="GF310" s="515"/>
      <c r="GG310" s="515"/>
      <c r="GH310" s="515"/>
      <c r="GI310" s="515"/>
      <c r="GJ310" s="515"/>
      <c r="GK310" s="515"/>
      <c r="GL310" s="515"/>
      <c r="GM310" s="515"/>
      <c r="GN310" s="515"/>
    </row>
    <row r="311" spans="1:196" s="525" customFormat="1" ht="13.8" hidden="1" outlineLevel="1" x14ac:dyDescent="0.25">
      <c r="A311" s="1415" t="s">
        <v>772</v>
      </c>
      <c r="B311" s="1415" t="s">
        <v>192</v>
      </c>
      <c r="C311" s="1416">
        <v>22064</v>
      </c>
      <c r="D311" s="1416">
        <f>C311-G311</f>
        <v>0</v>
      </c>
      <c r="E311" s="538"/>
      <c r="F311" s="1103" t="s">
        <v>665</v>
      </c>
      <c r="G311" s="505">
        <v>22064</v>
      </c>
      <c r="H311" s="505">
        <v>16158</v>
      </c>
      <c r="I311" s="1470"/>
      <c r="J311" s="1471">
        <f t="shared" si="37"/>
        <v>0</v>
      </c>
      <c r="K311" s="1468"/>
      <c r="L311" s="1417"/>
      <c r="M311" s="1122"/>
      <c r="N311" s="515"/>
      <c r="O311" s="515"/>
      <c r="P311" s="515"/>
      <c r="Q311" s="515"/>
      <c r="R311" s="515"/>
      <c r="S311" s="515"/>
      <c r="T311" s="515"/>
      <c r="U311" s="515"/>
      <c r="V311" s="515"/>
      <c r="W311" s="515"/>
      <c r="X311" s="515"/>
      <c r="Y311" s="515"/>
      <c r="Z311" s="515"/>
      <c r="AA311" s="515"/>
      <c r="AB311" s="515"/>
      <c r="AC311" s="515"/>
      <c r="AD311" s="515"/>
      <c r="AE311" s="515"/>
      <c r="AF311" s="515"/>
      <c r="AG311" s="515"/>
      <c r="AH311" s="515"/>
      <c r="AI311" s="515"/>
      <c r="AJ311" s="515"/>
      <c r="AK311" s="515"/>
      <c r="AL311" s="515"/>
      <c r="AM311" s="515"/>
      <c r="AN311" s="515"/>
      <c r="AO311" s="515"/>
      <c r="AP311" s="515"/>
      <c r="AQ311" s="515"/>
      <c r="AR311" s="515"/>
      <c r="AS311" s="515"/>
      <c r="AT311" s="515"/>
      <c r="AU311" s="515"/>
      <c r="AV311" s="515"/>
      <c r="AW311" s="515"/>
      <c r="AX311" s="515"/>
      <c r="AY311" s="515"/>
      <c r="AZ311" s="515"/>
      <c r="BA311" s="515"/>
      <c r="BB311" s="515"/>
      <c r="BC311" s="515"/>
      <c r="BD311" s="515"/>
      <c r="BE311" s="515"/>
      <c r="BF311" s="515"/>
      <c r="BG311" s="515"/>
      <c r="BH311" s="515"/>
      <c r="BI311" s="515"/>
      <c r="BJ311" s="515"/>
      <c r="BK311" s="515"/>
      <c r="BL311" s="515"/>
      <c r="BM311" s="515"/>
      <c r="BN311" s="515"/>
      <c r="BO311" s="515"/>
      <c r="BP311" s="515"/>
      <c r="BQ311" s="515"/>
      <c r="BR311" s="515"/>
      <c r="BS311" s="515"/>
      <c r="BT311" s="515"/>
      <c r="BU311" s="515"/>
      <c r="BV311" s="515"/>
      <c r="BW311" s="515"/>
      <c r="BX311" s="515"/>
      <c r="BY311" s="515"/>
      <c r="BZ311" s="515"/>
      <c r="CA311" s="515"/>
      <c r="CB311" s="515"/>
      <c r="CC311" s="515"/>
      <c r="CD311" s="515"/>
      <c r="CE311" s="515"/>
      <c r="CF311" s="515"/>
      <c r="CG311" s="515"/>
      <c r="CH311" s="515"/>
      <c r="CI311" s="515"/>
      <c r="CJ311" s="515"/>
      <c r="CK311" s="515"/>
      <c r="CL311" s="515"/>
      <c r="CM311" s="515"/>
      <c r="CN311" s="515"/>
      <c r="CO311" s="515"/>
      <c r="CP311" s="515"/>
      <c r="CQ311" s="515"/>
      <c r="CR311" s="515"/>
      <c r="CS311" s="515"/>
      <c r="CT311" s="515"/>
      <c r="CU311" s="515"/>
      <c r="CV311" s="515"/>
      <c r="CW311" s="515"/>
      <c r="CX311" s="515"/>
      <c r="CY311" s="515"/>
      <c r="CZ311" s="515"/>
      <c r="DA311" s="515"/>
      <c r="DB311" s="515"/>
      <c r="DC311" s="515"/>
      <c r="DD311" s="515"/>
      <c r="DE311" s="515"/>
      <c r="DF311" s="515"/>
      <c r="DG311" s="515"/>
      <c r="DH311" s="515"/>
      <c r="DI311" s="515"/>
      <c r="DJ311" s="515"/>
      <c r="DK311" s="515"/>
      <c r="DL311" s="515"/>
      <c r="DM311" s="515"/>
      <c r="DN311" s="515"/>
      <c r="DO311" s="515"/>
      <c r="DP311" s="515"/>
      <c r="DQ311" s="515"/>
      <c r="DR311" s="515"/>
      <c r="DS311" s="515"/>
      <c r="DT311" s="515"/>
      <c r="DU311" s="515"/>
      <c r="DV311" s="515"/>
      <c r="DW311" s="515"/>
      <c r="DX311" s="515"/>
      <c r="DY311" s="515"/>
      <c r="DZ311" s="515"/>
      <c r="EA311" s="515"/>
      <c r="EB311" s="515"/>
      <c r="EC311" s="515"/>
      <c r="ED311" s="515"/>
      <c r="EE311" s="515"/>
      <c r="EF311" s="515"/>
      <c r="EG311" s="515"/>
      <c r="EH311" s="515"/>
      <c r="EI311" s="515"/>
      <c r="EJ311" s="515"/>
      <c r="EK311" s="515"/>
      <c r="EL311" s="515"/>
      <c r="EM311" s="515"/>
      <c r="EN311" s="515"/>
      <c r="EO311" s="515"/>
      <c r="EP311" s="515"/>
      <c r="EQ311" s="515"/>
      <c r="ER311" s="515"/>
      <c r="ES311" s="515"/>
      <c r="ET311" s="515"/>
      <c r="EU311" s="515"/>
      <c r="EV311" s="515"/>
      <c r="EW311" s="515"/>
      <c r="EX311" s="515"/>
      <c r="EY311" s="515"/>
      <c r="EZ311" s="515"/>
      <c r="FA311" s="515"/>
      <c r="FB311" s="515"/>
      <c r="FC311" s="515"/>
      <c r="FD311" s="515"/>
      <c r="FE311" s="515"/>
      <c r="FF311" s="515"/>
      <c r="FG311" s="515"/>
      <c r="FH311" s="515"/>
      <c r="FI311" s="515"/>
      <c r="FJ311" s="515"/>
      <c r="FK311" s="515"/>
      <c r="FL311" s="515"/>
      <c r="FM311" s="515"/>
      <c r="FN311" s="515"/>
      <c r="FO311" s="515"/>
      <c r="FP311" s="515"/>
      <c r="FQ311" s="515"/>
      <c r="FR311" s="515"/>
      <c r="FS311" s="515"/>
      <c r="FT311" s="515"/>
      <c r="FU311" s="515"/>
      <c r="FV311" s="515"/>
      <c r="FW311" s="515"/>
      <c r="FX311" s="515"/>
      <c r="FY311" s="515"/>
      <c r="FZ311" s="515"/>
      <c r="GA311" s="515"/>
      <c r="GB311" s="515"/>
      <c r="GC311" s="515"/>
      <c r="GD311" s="515"/>
      <c r="GE311" s="515"/>
      <c r="GF311" s="515"/>
      <c r="GG311" s="515"/>
      <c r="GH311" s="515"/>
      <c r="GI311" s="515"/>
      <c r="GJ311" s="515"/>
      <c r="GK311" s="515"/>
      <c r="GL311" s="515"/>
      <c r="GM311" s="515"/>
      <c r="GN311" s="515"/>
    </row>
    <row r="312" spans="1:196" s="525" customFormat="1" ht="13.8" hidden="1" outlineLevel="1" x14ac:dyDescent="0.25">
      <c r="A312" s="1415" t="s">
        <v>792</v>
      </c>
      <c r="B312" s="1415" t="s">
        <v>192</v>
      </c>
      <c r="C312" s="1416">
        <v>120342</v>
      </c>
      <c r="D312" s="1416">
        <f>C312-G312</f>
        <v>0</v>
      </c>
      <c r="E312" s="1466"/>
      <c r="F312" s="1423" t="s">
        <v>1163</v>
      </c>
      <c r="G312" s="505">
        <v>120342</v>
      </c>
      <c r="H312" s="505">
        <v>363164</v>
      </c>
      <c r="I312" s="1472"/>
      <c r="J312" s="1473"/>
      <c r="K312" s="1469"/>
      <c r="L312" s="1417"/>
      <c r="M312" s="1122"/>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5"/>
      <c r="AJ312" s="515"/>
      <c r="AK312" s="515"/>
      <c r="AL312" s="515"/>
      <c r="AM312" s="515"/>
      <c r="AN312" s="515"/>
      <c r="AO312" s="515"/>
      <c r="AP312" s="515"/>
      <c r="AQ312" s="515"/>
      <c r="AR312" s="515"/>
      <c r="AS312" s="515"/>
      <c r="AT312" s="515"/>
      <c r="AU312" s="515"/>
      <c r="AV312" s="515"/>
      <c r="AW312" s="515"/>
      <c r="AX312" s="515"/>
      <c r="AY312" s="515"/>
      <c r="AZ312" s="515"/>
      <c r="BA312" s="515"/>
      <c r="BB312" s="515"/>
      <c r="BC312" s="515"/>
      <c r="BD312" s="515"/>
      <c r="BE312" s="515"/>
      <c r="BF312" s="515"/>
      <c r="BG312" s="515"/>
      <c r="BH312" s="515"/>
      <c r="BI312" s="515"/>
      <c r="BJ312" s="515"/>
      <c r="BK312" s="515"/>
      <c r="BL312" s="515"/>
      <c r="BM312" s="515"/>
      <c r="BN312" s="515"/>
      <c r="BO312" s="515"/>
      <c r="BP312" s="515"/>
      <c r="BQ312" s="515"/>
      <c r="BR312" s="515"/>
      <c r="BS312" s="515"/>
      <c r="BT312" s="515"/>
      <c r="BU312" s="515"/>
      <c r="BV312" s="515"/>
      <c r="BW312" s="515"/>
      <c r="BX312" s="515"/>
      <c r="BY312" s="515"/>
      <c r="BZ312" s="515"/>
      <c r="CA312" s="515"/>
      <c r="CB312" s="515"/>
      <c r="CC312" s="515"/>
      <c r="CD312" s="515"/>
      <c r="CE312" s="515"/>
      <c r="CF312" s="515"/>
      <c r="CG312" s="515"/>
      <c r="CH312" s="515"/>
      <c r="CI312" s="515"/>
      <c r="CJ312" s="515"/>
      <c r="CK312" s="515"/>
      <c r="CL312" s="515"/>
      <c r="CM312" s="515"/>
      <c r="CN312" s="515"/>
      <c r="CO312" s="515"/>
      <c r="CP312" s="515"/>
      <c r="CQ312" s="515"/>
      <c r="CR312" s="515"/>
      <c r="CS312" s="515"/>
      <c r="CT312" s="515"/>
      <c r="CU312" s="515"/>
      <c r="CV312" s="515"/>
      <c r="CW312" s="515"/>
      <c r="CX312" s="515"/>
      <c r="CY312" s="515"/>
      <c r="CZ312" s="515"/>
      <c r="DA312" s="515"/>
      <c r="DB312" s="515"/>
      <c r="DC312" s="515"/>
      <c r="DD312" s="515"/>
      <c r="DE312" s="515"/>
      <c r="DF312" s="515"/>
      <c r="DG312" s="515"/>
      <c r="DH312" s="515"/>
      <c r="DI312" s="515"/>
      <c r="DJ312" s="515"/>
      <c r="DK312" s="515"/>
      <c r="DL312" s="515"/>
      <c r="DM312" s="515"/>
      <c r="DN312" s="515"/>
      <c r="DO312" s="515"/>
      <c r="DP312" s="515"/>
      <c r="DQ312" s="515"/>
      <c r="DR312" s="515"/>
      <c r="DS312" s="515"/>
      <c r="DT312" s="515"/>
      <c r="DU312" s="515"/>
      <c r="DV312" s="515"/>
      <c r="DW312" s="515"/>
      <c r="DX312" s="515"/>
      <c r="DY312" s="515"/>
      <c r="DZ312" s="515"/>
      <c r="EA312" s="515"/>
      <c r="EB312" s="515"/>
      <c r="EC312" s="515"/>
      <c r="ED312" s="515"/>
      <c r="EE312" s="515"/>
      <c r="EF312" s="515"/>
      <c r="EG312" s="515"/>
      <c r="EH312" s="515"/>
      <c r="EI312" s="515"/>
      <c r="EJ312" s="515"/>
      <c r="EK312" s="515"/>
      <c r="EL312" s="515"/>
      <c r="EM312" s="515"/>
      <c r="EN312" s="515"/>
      <c r="EO312" s="515"/>
      <c r="EP312" s="515"/>
      <c r="EQ312" s="515"/>
      <c r="ER312" s="515"/>
      <c r="ES312" s="515"/>
      <c r="ET312" s="515"/>
      <c r="EU312" s="515"/>
      <c r="EV312" s="515"/>
      <c r="EW312" s="515"/>
      <c r="EX312" s="515"/>
      <c r="EY312" s="515"/>
      <c r="EZ312" s="515"/>
      <c r="FA312" s="515"/>
      <c r="FB312" s="515"/>
      <c r="FC312" s="515"/>
      <c r="FD312" s="515"/>
      <c r="FE312" s="515"/>
      <c r="FF312" s="515"/>
      <c r="FG312" s="515"/>
      <c r="FH312" s="515"/>
      <c r="FI312" s="515"/>
      <c r="FJ312" s="515"/>
      <c r="FK312" s="515"/>
      <c r="FL312" s="515"/>
      <c r="FM312" s="515"/>
      <c r="FN312" s="515"/>
      <c r="FO312" s="515"/>
      <c r="FP312" s="515"/>
      <c r="FQ312" s="515"/>
      <c r="FR312" s="515"/>
      <c r="FS312" s="515"/>
      <c r="FT312" s="515"/>
      <c r="FU312" s="515"/>
      <c r="FV312" s="515"/>
      <c r="FW312" s="515"/>
      <c r="FX312" s="515"/>
      <c r="FY312" s="515"/>
      <c r="FZ312" s="515"/>
      <c r="GA312" s="515"/>
      <c r="GB312" s="515"/>
      <c r="GC312" s="515"/>
      <c r="GD312" s="515"/>
      <c r="GE312" s="515"/>
      <c r="GF312" s="515"/>
      <c r="GG312" s="515"/>
      <c r="GH312" s="515"/>
      <c r="GI312" s="515"/>
      <c r="GJ312" s="515"/>
      <c r="GK312" s="515"/>
      <c r="GL312" s="515"/>
      <c r="GM312" s="515"/>
      <c r="GN312" s="515"/>
    </row>
    <row r="313" spans="1:196" ht="27.6" collapsed="1" x14ac:dyDescent="0.25">
      <c r="C313" s="923">
        <f>862429-G319-G318</f>
        <v>849740</v>
      </c>
      <c r="D313" s="923">
        <f>C313-G313</f>
        <v>0</v>
      </c>
      <c r="E313" s="151" t="s">
        <v>1182</v>
      </c>
      <c r="F313" s="145" t="s">
        <v>204</v>
      </c>
      <c r="G313" s="1">
        <v>849740</v>
      </c>
      <c r="H313" s="302">
        <v>891203.01617700025</v>
      </c>
      <c r="I313" s="132">
        <f t="shared" si="38"/>
        <v>41463.016177000245</v>
      </c>
      <c r="J313" s="867">
        <f t="shared" si="37"/>
        <v>4.8794944544213813E-2</v>
      </c>
      <c r="K313" s="220"/>
      <c r="L313" s="224"/>
    </row>
    <row r="314" spans="1:196" s="104" customFormat="1" ht="13.8" hidden="1" outlineLevel="1" x14ac:dyDescent="0.25">
      <c r="A314" s="810" t="s">
        <v>741</v>
      </c>
      <c r="B314" s="810" t="s">
        <v>228</v>
      </c>
      <c r="C314" s="923"/>
      <c r="D314" s="923"/>
      <c r="E314" s="159"/>
      <c r="F314" s="215" t="s">
        <v>228</v>
      </c>
      <c r="G314" s="304">
        <v>701431</v>
      </c>
      <c r="H314" s="304">
        <v>748997.01617700025</v>
      </c>
      <c r="I314" s="153">
        <f t="shared" si="38"/>
        <v>47566.016177000245</v>
      </c>
      <c r="J314" s="878">
        <f t="shared" si="37"/>
        <v>6.7812822896336555E-2</v>
      </c>
      <c r="K314" s="218"/>
      <c r="L314" s="224"/>
      <c r="M314" s="107"/>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row>
    <row r="315" spans="1:196" s="104" customFormat="1" ht="13.8" hidden="1" outlineLevel="1" x14ac:dyDescent="0.25">
      <c r="A315" s="810" t="s">
        <v>741</v>
      </c>
      <c r="B315" s="810" t="s">
        <v>554</v>
      </c>
      <c r="C315" s="923"/>
      <c r="D315" s="923"/>
      <c r="E315" s="214"/>
      <c r="F315" s="160" t="s">
        <v>198</v>
      </c>
      <c r="G315" s="304">
        <v>105038</v>
      </c>
      <c r="H315" s="304">
        <v>116406</v>
      </c>
      <c r="I315" s="122">
        <f t="shared" si="38"/>
        <v>11368</v>
      </c>
      <c r="J315" s="865">
        <f t="shared" si="37"/>
        <v>0.10822749861954721</v>
      </c>
      <c r="K315" s="1001" t="s">
        <v>1277</v>
      </c>
      <c r="L315" s="224"/>
      <c r="M315" s="107"/>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row>
    <row r="316" spans="1:196" s="104" customFormat="1" ht="13.8" hidden="1" outlineLevel="1" x14ac:dyDescent="0.25">
      <c r="A316" s="810" t="s">
        <v>741</v>
      </c>
      <c r="B316" s="810" t="s">
        <v>556</v>
      </c>
      <c r="C316" s="923"/>
      <c r="D316" s="923"/>
      <c r="E316" s="159"/>
      <c r="F316" s="160" t="s">
        <v>197</v>
      </c>
      <c r="G316" s="304">
        <v>43271</v>
      </c>
      <c r="H316" s="304">
        <v>25800</v>
      </c>
      <c r="I316" s="153">
        <f t="shared" si="38"/>
        <v>-17471</v>
      </c>
      <c r="J316" s="878">
        <f t="shared" si="37"/>
        <v>-0.4037577130179566</v>
      </c>
      <c r="K316" s="218"/>
      <c r="L316" s="224"/>
      <c r="M316" s="107"/>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row>
    <row r="317" spans="1:196" s="525" customFormat="1" ht="13.8" hidden="1" outlineLevel="1" x14ac:dyDescent="0.25">
      <c r="A317" s="1101" t="s">
        <v>740</v>
      </c>
      <c r="B317" s="1101" t="s">
        <v>182</v>
      </c>
      <c r="C317" s="1102">
        <v>594024</v>
      </c>
      <c r="D317" s="1102">
        <f>C317-G317</f>
        <v>81</v>
      </c>
      <c r="E317" s="523"/>
      <c r="F317" s="520" t="s">
        <v>167</v>
      </c>
      <c r="G317" s="504">
        <v>593943</v>
      </c>
      <c r="H317" s="504">
        <v>593639.88084</v>
      </c>
      <c r="I317" s="509">
        <f t="shared" si="38"/>
        <v>-303.11916000000201</v>
      </c>
      <c r="J317" s="880">
        <f t="shared" si="37"/>
        <v>-5.1035058919795672E-4</v>
      </c>
      <c r="K317" s="516"/>
      <c r="L317" s="507"/>
      <c r="M317" s="1122"/>
      <c r="N317" s="515"/>
      <c r="O317" s="515"/>
      <c r="P317" s="515"/>
      <c r="Q317" s="515"/>
      <c r="R317" s="515"/>
      <c r="S317" s="515"/>
      <c r="T317" s="515"/>
      <c r="U317" s="515"/>
      <c r="V317" s="515"/>
      <c r="W317" s="515"/>
      <c r="X317" s="515"/>
      <c r="Y317" s="515"/>
      <c r="Z317" s="515"/>
      <c r="AA317" s="515"/>
      <c r="AB317" s="515"/>
      <c r="AC317" s="515"/>
      <c r="AD317" s="515"/>
      <c r="AE317" s="515"/>
      <c r="AF317" s="515"/>
      <c r="AG317" s="515"/>
      <c r="AH317" s="515"/>
      <c r="AI317" s="515"/>
      <c r="AJ317" s="515"/>
      <c r="AK317" s="515"/>
      <c r="AL317" s="515"/>
      <c r="AM317" s="515"/>
      <c r="AN317" s="515"/>
      <c r="AO317" s="515"/>
      <c r="AP317" s="515"/>
      <c r="AQ317" s="515"/>
      <c r="AR317" s="515"/>
      <c r="AS317" s="515"/>
      <c r="AT317" s="515"/>
      <c r="AU317" s="515"/>
      <c r="AV317" s="515"/>
      <c r="AW317" s="515"/>
      <c r="AX317" s="515"/>
      <c r="AY317" s="515"/>
      <c r="AZ317" s="515"/>
      <c r="BA317" s="515"/>
      <c r="BB317" s="515"/>
      <c r="BC317" s="515"/>
      <c r="BD317" s="515"/>
      <c r="BE317" s="515"/>
      <c r="BF317" s="515"/>
      <c r="BG317" s="515"/>
      <c r="BH317" s="515"/>
      <c r="BI317" s="515"/>
      <c r="BJ317" s="515"/>
      <c r="BK317" s="515"/>
      <c r="BL317" s="515"/>
      <c r="BM317" s="515"/>
      <c r="BN317" s="515"/>
      <c r="BO317" s="515"/>
      <c r="BP317" s="515"/>
      <c r="BQ317" s="515"/>
      <c r="BR317" s="515"/>
      <c r="BS317" s="515"/>
      <c r="BT317" s="515"/>
      <c r="BU317" s="515"/>
      <c r="BV317" s="515"/>
      <c r="BW317" s="515"/>
      <c r="BX317" s="515"/>
      <c r="BY317" s="515"/>
      <c r="BZ317" s="515"/>
      <c r="CA317" s="515"/>
      <c r="CB317" s="515"/>
      <c r="CC317" s="515"/>
      <c r="CD317" s="515"/>
      <c r="CE317" s="515"/>
      <c r="CF317" s="515"/>
      <c r="CG317" s="515"/>
      <c r="CH317" s="515"/>
      <c r="CI317" s="515"/>
      <c r="CJ317" s="515"/>
      <c r="CK317" s="515"/>
      <c r="CL317" s="515"/>
      <c r="CM317" s="515"/>
      <c r="CN317" s="515"/>
      <c r="CO317" s="515"/>
      <c r="CP317" s="515"/>
      <c r="CQ317" s="515"/>
      <c r="CR317" s="515"/>
      <c r="CS317" s="515"/>
      <c r="CT317" s="515"/>
      <c r="CU317" s="515"/>
      <c r="CV317" s="515"/>
      <c r="CW317" s="515"/>
      <c r="CX317" s="515"/>
      <c r="CY317" s="515"/>
      <c r="CZ317" s="515"/>
      <c r="DA317" s="515"/>
      <c r="DB317" s="515"/>
      <c r="DC317" s="515"/>
      <c r="DD317" s="515"/>
      <c r="DE317" s="515"/>
      <c r="DF317" s="515"/>
      <c r="DG317" s="515"/>
      <c r="DH317" s="515"/>
      <c r="DI317" s="515"/>
      <c r="DJ317" s="515"/>
      <c r="DK317" s="515"/>
      <c r="DL317" s="515"/>
      <c r="DM317" s="515"/>
      <c r="DN317" s="515"/>
      <c r="DO317" s="515"/>
      <c r="DP317" s="515"/>
      <c r="DQ317" s="515"/>
      <c r="DR317" s="515"/>
      <c r="DS317" s="515"/>
      <c r="DT317" s="515"/>
      <c r="DU317" s="515"/>
      <c r="DV317" s="515"/>
      <c r="DW317" s="515"/>
      <c r="DX317" s="515"/>
      <c r="DY317" s="515"/>
      <c r="DZ317" s="515"/>
      <c r="EA317" s="515"/>
      <c r="EB317" s="515"/>
      <c r="EC317" s="515"/>
      <c r="ED317" s="515"/>
      <c r="EE317" s="515"/>
      <c r="EF317" s="515"/>
      <c r="EG317" s="515"/>
      <c r="EH317" s="515"/>
      <c r="EI317" s="515"/>
      <c r="EJ317" s="515"/>
      <c r="EK317" s="515"/>
      <c r="EL317" s="515"/>
      <c r="EM317" s="515"/>
      <c r="EN317" s="515"/>
      <c r="EO317" s="515"/>
      <c r="EP317" s="515"/>
      <c r="EQ317" s="515"/>
      <c r="ER317" s="515"/>
      <c r="ES317" s="515"/>
      <c r="ET317" s="515"/>
      <c r="EU317" s="515"/>
      <c r="EV317" s="515"/>
      <c r="EW317" s="515"/>
      <c r="EX317" s="515"/>
      <c r="EY317" s="515"/>
      <c r="EZ317" s="515"/>
      <c r="FA317" s="515"/>
      <c r="FB317" s="515"/>
      <c r="FC317" s="515"/>
      <c r="FD317" s="515"/>
      <c r="FE317" s="515"/>
      <c r="FF317" s="515"/>
      <c r="FG317" s="515"/>
      <c r="FH317" s="515"/>
      <c r="FI317" s="515"/>
      <c r="FJ317" s="515"/>
      <c r="FK317" s="515"/>
      <c r="FL317" s="515"/>
      <c r="FM317" s="515"/>
      <c r="FN317" s="515"/>
      <c r="FO317" s="515"/>
      <c r="FP317" s="515"/>
      <c r="FQ317" s="515"/>
      <c r="FR317" s="515"/>
      <c r="FS317" s="515"/>
      <c r="FT317" s="515"/>
      <c r="FU317" s="515"/>
      <c r="FV317" s="515"/>
      <c r="FW317" s="515"/>
      <c r="FX317" s="515"/>
      <c r="FY317" s="515"/>
      <c r="FZ317" s="515"/>
      <c r="GA317" s="515"/>
      <c r="GB317" s="515"/>
      <c r="GC317" s="515"/>
      <c r="GD317" s="515"/>
      <c r="GE317" s="515"/>
      <c r="GF317" s="515"/>
      <c r="GG317" s="515"/>
      <c r="GH317" s="515"/>
      <c r="GI317" s="515"/>
      <c r="GJ317" s="515"/>
      <c r="GK317" s="515"/>
      <c r="GL317" s="515"/>
      <c r="GM317" s="515"/>
      <c r="GN317" s="515"/>
    </row>
    <row r="318" spans="1:196" s="525" customFormat="1" ht="13.8" hidden="1" outlineLevel="1" x14ac:dyDescent="0.25">
      <c r="A318" s="1101" t="s">
        <v>741</v>
      </c>
      <c r="B318" s="1101" t="s">
        <v>555</v>
      </c>
      <c r="C318" s="1102"/>
      <c r="D318" s="1102"/>
      <c r="E318" s="523"/>
      <c r="F318" s="520" t="s">
        <v>555</v>
      </c>
      <c r="G318" s="504">
        <v>5310</v>
      </c>
      <c r="H318" s="504">
        <v>6000</v>
      </c>
      <c r="I318" s="510">
        <f t="shared" si="38"/>
        <v>690</v>
      </c>
      <c r="J318" s="876">
        <f t="shared" si="37"/>
        <v>0.12994350282485875</v>
      </c>
      <c r="K318" s="516"/>
      <c r="L318" s="507"/>
      <c r="M318" s="1122"/>
      <c r="N318" s="515"/>
      <c r="O318" s="515"/>
      <c r="P318" s="515"/>
      <c r="Q318" s="515"/>
      <c r="R318" s="515"/>
      <c r="S318" s="515"/>
      <c r="T318" s="515"/>
      <c r="U318" s="515"/>
      <c r="V318" s="515"/>
      <c r="W318" s="515"/>
      <c r="X318" s="515"/>
      <c r="Y318" s="515"/>
      <c r="Z318" s="515"/>
      <c r="AA318" s="515"/>
      <c r="AB318" s="515"/>
      <c r="AC318" s="515"/>
      <c r="AD318" s="515"/>
      <c r="AE318" s="515"/>
      <c r="AF318" s="515"/>
      <c r="AG318" s="515"/>
      <c r="AH318" s="515"/>
      <c r="AI318" s="515"/>
      <c r="AJ318" s="515"/>
      <c r="AK318" s="515"/>
      <c r="AL318" s="515"/>
      <c r="AM318" s="515"/>
      <c r="AN318" s="515"/>
      <c r="AO318" s="515"/>
      <c r="AP318" s="515"/>
      <c r="AQ318" s="515"/>
      <c r="AR318" s="515"/>
      <c r="AS318" s="515"/>
      <c r="AT318" s="515"/>
      <c r="AU318" s="515"/>
      <c r="AV318" s="515"/>
      <c r="AW318" s="515"/>
      <c r="AX318" s="515"/>
      <c r="AY318" s="515"/>
      <c r="AZ318" s="515"/>
      <c r="BA318" s="515"/>
      <c r="BB318" s="515"/>
      <c r="BC318" s="515"/>
      <c r="BD318" s="515"/>
      <c r="BE318" s="515"/>
      <c r="BF318" s="515"/>
      <c r="BG318" s="515"/>
      <c r="BH318" s="515"/>
      <c r="BI318" s="515"/>
      <c r="BJ318" s="515"/>
      <c r="BK318" s="515"/>
      <c r="BL318" s="515"/>
      <c r="BM318" s="515"/>
      <c r="BN318" s="515"/>
      <c r="BO318" s="515"/>
      <c r="BP318" s="515"/>
      <c r="BQ318" s="515"/>
      <c r="BR318" s="515"/>
      <c r="BS318" s="515"/>
      <c r="BT318" s="515"/>
      <c r="BU318" s="515"/>
      <c r="BV318" s="515"/>
      <c r="BW318" s="515"/>
      <c r="BX318" s="515"/>
      <c r="BY318" s="515"/>
      <c r="BZ318" s="515"/>
      <c r="CA318" s="515"/>
      <c r="CB318" s="515"/>
      <c r="CC318" s="515"/>
      <c r="CD318" s="515"/>
      <c r="CE318" s="515"/>
      <c r="CF318" s="515"/>
      <c r="CG318" s="515"/>
      <c r="CH318" s="515"/>
      <c r="CI318" s="515"/>
      <c r="CJ318" s="515"/>
      <c r="CK318" s="515"/>
      <c r="CL318" s="515"/>
      <c r="CM318" s="515"/>
      <c r="CN318" s="515"/>
      <c r="CO318" s="515"/>
      <c r="CP318" s="515"/>
      <c r="CQ318" s="515"/>
      <c r="CR318" s="515"/>
      <c r="CS318" s="515"/>
      <c r="CT318" s="515"/>
      <c r="CU318" s="515"/>
      <c r="CV318" s="515"/>
      <c r="CW318" s="515"/>
      <c r="CX318" s="515"/>
      <c r="CY318" s="515"/>
      <c r="CZ318" s="515"/>
      <c r="DA318" s="515"/>
      <c r="DB318" s="515"/>
      <c r="DC318" s="515"/>
      <c r="DD318" s="515"/>
      <c r="DE318" s="515"/>
      <c r="DF318" s="515"/>
      <c r="DG318" s="515"/>
      <c r="DH318" s="515"/>
      <c r="DI318" s="515"/>
      <c r="DJ318" s="515"/>
      <c r="DK318" s="515"/>
      <c r="DL318" s="515"/>
      <c r="DM318" s="515"/>
      <c r="DN318" s="515"/>
      <c r="DO318" s="515"/>
      <c r="DP318" s="515"/>
      <c r="DQ318" s="515"/>
      <c r="DR318" s="515"/>
      <c r="DS318" s="515"/>
      <c r="DT318" s="515"/>
      <c r="DU318" s="515"/>
      <c r="DV318" s="515"/>
      <c r="DW318" s="515"/>
      <c r="DX318" s="515"/>
      <c r="DY318" s="515"/>
      <c r="DZ318" s="515"/>
      <c r="EA318" s="515"/>
      <c r="EB318" s="515"/>
      <c r="EC318" s="515"/>
      <c r="ED318" s="515"/>
      <c r="EE318" s="515"/>
      <c r="EF318" s="515"/>
      <c r="EG318" s="515"/>
      <c r="EH318" s="515"/>
      <c r="EI318" s="515"/>
      <c r="EJ318" s="515"/>
      <c r="EK318" s="515"/>
      <c r="EL318" s="515"/>
      <c r="EM318" s="515"/>
      <c r="EN318" s="515"/>
      <c r="EO318" s="515"/>
      <c r="EP318" s="515"/>
      <c r="EQ318" s="515"/>
      <c r="ER318" s="515"/>
      <c r="ES318" s="515"/>
      <c r="ET318" s="515"/>
      <c r="EU318" s="515"/>
      <c r="EV318" s="515"/>
      <c r="EW318" s="515"/>
      <c r="EX318" s="515"/>
      <c r="EY318" s="515"/>
      <c r="EZ318" s="515"/>
      <c r="FA318" s="515"/>
      <c r="FB318" s="515"/>
      <c r="FC318" s="515"/>
      <c r="FD318" s="515"/>
      <c r="FE318" s="515"/>
      <c r="FF318" s="515"/>
      <c r="FG318" s="515"/>
      <c r="FH318" s="515"/>
      <c r="FI318" s="515"/>
      <c r="FJ318" s="515"/>
      <c r="FK318" s="515"/>
      <c r="FL318" s="515"/>
      <c r="FM318" s="515"/>
      <c r="FN318" s="515"/>
      <c r="FO318" s="515"/>
      <c r="FP318" s="515"/>
      <c r="FQ318" s="515"/>
      <c r="FR318" s="515"/>
      <c r="FS318" s="515"/>
      <c r="FT318" s="515"/>
      <c r="FU318" s="515"/>
      <c r="FV318" s="515"/>
      <c r="FW318" s="515"/>
      <c r="FX318" s="515"/>
      <c r="FY318" s="515"/>
      <c r="FZ318" s="515"/>
      <c r="GA318" s="515"/>
      <c r="GB318" s="515"/>
      <c r="GC318" s="515"/>
      <c r="GD318" s="515"/>
      <c r="GE318" s="515"/>
      <c r="GF318" s="515"/>
      <c r="GG318" s="515"/>
      <c r="GH318" s="515"/>
      <c r="GI318" s="515"/>
      <c r="GJ318" s="515"/>
      <c r="GK318" s="515"/>
      <c r="GL318" s="515"/>
      <c r="GM318" s="515"/>
      <c r="GN318" s="515"/>
    </row>
    <row r="319" spans="1:196" s="525" customFormat="1" ht="13.8" hidden="1" outlineLevel="1" x14ac:dyDescent="0.25">
      <c r="A319" s="1101" t="s">
        <v>741</v>
      </c>
      <c r="B319" s="1101" t="s">
        <v>192</v>
      </c>
      <c r="C319" s="1102"/>
      <c r="D319" s="1102"/>
      <c r="E319" s="1466"/>
      <c r="F319" s="1103" t="s">
        <v>43</v>
      </c>
      <c r="G319" s="504">
        <v>7379</v>
      </c>
      <c r="H319" s="504">
        <v>0</v>
      </c>
      <c r="I319" s="1474"/>
      <c r="J319" s="1475">
        <f t="shared" si="37"/>
        <v>0</v>
      </c>
      <c r="K319" s="1467"/>
      <c r="L319" s="507"/>
      <c r="M319" s="1122"/>
      <c r="N319" s="515"/>
      <c r="O319" s="515"/>
      <c r="P319" s="515"/>
      <c r="Q319" s="515"/>
      <c r="R319" s="515"/>
      <c r="S319" s="515"/>
      <c r="T319" s="515"/>
      <c r="U319" s="515"/>
      <c r="V319" s="515"/>
      <c r="W319" s="515"/>
      <c r="X319" s="515"/>
      <c r="Y319" s="515"/>
      <c r="Z319" s="515"/>
      <c r="AA319" s="515"/>
      <c r="AB319" s="515"/>
      <c r="AC319" s="515"/>
      <c r="AD319" s="515"/>
      <c r="AE319" s="515"/>
      <c r="AF319" s="515"/>
      <c r="AG319" s="515"/>
      <c r="AH319" s="515"/>
      <c r="AI319" s="515"/>
      <c r="AJ319" s="515"/>
      <c r="AK319" s="515"/>
      <c r="AL319" s="515"/>
      <c r="AM319" s="515"/>
      <c r="AN319" s="515"/>
      <c r="AO319" s="515"/>
      <c r="AP319" s="515"/>
      <c r="AQ319" s="515"/>
      <c r="AR319" s="515"/>
      <c r="AS319" s="515"/>
      <c r="AT319" s="515"/>
      <c r="AU319" s="515"/>
      <c r="AV319" s="515"/>
      <c r="AW319" s="515"/>
      <c r="AX319" s="515"/>
      <c r="AY319" s="515"/>
      <c r="AZ319" s="515"/>
      <c r="BA319" s="515"/>
      <c r="BB319" s="515"/>
      <c r="BC319" s="515"/>
      <c r="BD319" s="515"/>
      <c r="BE319" s="515"/>
      <c r="BF319" s="515"/>
      <c r="BG319" s="515"/>
      <c r="BH319" s="515"/>
      <c r="BI319" s="515"/>
      <c r="BJ319" s="515"/>
      <c r="BK319" s="515"/>
      <c r="BL319" s="515"/>
      <c r="BM319" s="515"/>
      <c r="BN319" s="515"/>
      <c r="BO319" s="515"/>
      <c r="BP319" s="515"/>
      <c r="BQ319" s="515"/>
      <c r="BR319" s="515"/>
      <c r="BS319" s="515"/>
      <c r="BT319" s="515"/>
      <c r="BU319" s="515"/>
      <c r="BV319" s="515"/>
      <c r="BW319" s="515"/>
      <c r="BX319" s="515"/>
      <c r="BY319" s="515"/>
      <c r="BZ319" s="515"/>
      <c r="CA319" s="515"/>
      <c r="CB319" s="515"/>
      <c r="CC319" s="515"/>
      <c r="CD319" s="515"/>
      <c r="CE319" s="515"/>
      <c r="CF319" s="515"/>
      <c r="CG319" s="515"/>
      <c r="CH319" s="515"/>
      <c r="CI319" s="515"/>
      <c r="CJ319" s="515"/>
      <c r="CK319" s="515"/>
      <c r="CL319" s="515"/>
      <c r="CM319" s="515"/>
      <c r="CN319" s="515"/>
      <c r="CO319" s="515"/>
      <c r="CP319" s="515"/>
      <c r="CQ319" s="515"/>
      <c r="CR319" s="515"/>
      <c r="CS319" s="515"/>
      <c r="CT319" s="515"/>
      <c r="CU319" s="515"/>
      <c r="CV319" s="515"/>
      <c r="CW319" s="515"/>
      <c r="CX319" s="515"/>
      <c r="CY319" s="515"/>
      <c r="CZ319" s="515"/>
      <c r="DA319" s="515"/>
      <c r="DB319" s="515"/>
      <c r="DC319" s="515"/>
      <c r="DD319" s="515"/>
      <c r="DE319" s="515"/>
      <c r="DF319" s="515"/>
      <c r="DG319" s="515"/>
      <c r="DH319" s="515"/>
      <c r="DI319" s="515"/>
      <c r="DJ319" s="515"/>
      <c r="DK319" s="515"/>
      <c r="DL319" s="515"/>
      <c r="DM319" s="515"/>
      <c r="DN319" s="515"/>
      <c r="DO319" s="515"/>
      <c r="DP319" s="515"/>
      <c r="DQ319" s="515"/>
      <c r="DR319" s="515"/>
      <c r="DS319" s="515"/>
      <c r="DT319" s="515"/>
      <c r="DU319" s="515"/>
      <c r="DV319" s="515"/>
      <c r="DW319" s="515"/>
      <c r="DX319" s="515"/>
      <c r="DY319" s="515"/>
      <c r="DZ319" s="515"/>
      <c r="EA319" s="515"/>
      <c r="EB319" s="515"/>
      <c r="EC319" s="515"/>
      <c r="ED319" s="515"/>
      <c r="EE319" s="515"/>
      <c r="EF319" s="515"/>
      <c r="EG319" s="515"/>
      <c r="EH319" s="515"/>
      <c r="EI319" s="515"/>
      <c r="EJ319" s="515"/>
      <c r="EK319" s="515"/>
      <c r="EL319" s="515"/>
      <c r="EM319" s="515"/>
      <c r="EN319" s="515"/>
      <c r="EO319" s="515"/>
      <c r="EP319" s="515"/>
      <c r="EQ319" s="515"/>
      <c r="ER319" s="515"/>
      <c r="ES319" s="515"/>
      <c r="ET319" s="515"/>
      <c r="EU319" s="515"/>
      <c r="EV319" s="515"/>
      <c r="EW319" s="515"/>
      <c r="EX319" s="515"/>
      <c r="EY319" s="515"/>
      <c r="EZ319" s="515"/>
      <c r="FA319" s="515"/>
      <c r="FB319" s="515"/>
      <c r="FC319" s="515"/>
      <c r="FD319" s="515"/>
      <c r="FE319" s="515"/>
      <c r="FF319" s="515"/>
      <c r="FG319" s="515"/>
      <c r="FH319" s="515"/>
      <c r="FI319" s="515"/>
      <c r="FJ319" s="515"/>
      <c r="FK319" s="515"/>
      <c r="FL319" s="515"/>
      <c r="FM319" s="515"/>
      <c r="FN319" s="515"/>
      <c r="FO319" s="515"/>
      <c r="FP319" s="515"/>
      <c r="FQ319" s="515"/>
      <c r="FR319" s="515"/>
      <c r="FS319" s="515"/>
      <c r="FT319" s="515"/>
      <c r="FU319" s="515"/>
      <c r="FV319" s="515"/>
      <c r="FW319" s="515"/>
      <c r="FX319" s="515"/>
      <c r="FY319" s="515"/>
      <c r="FZ319" s="515"/>
      <c r="GA319" s="515"/>
      <c r="GB319" s="515"/>
      <c r="GC319" s="515"/>
      <c r="GD319" s="515"/>
      <c r="GE319" s="515"/>
      <c r="GF319" s="515"/>
      <c r="GG319" s="515"/>
      <c r="GH319" s="515"/>
      <c r="GI319" s="515"/>
      <c r="GJ319" s="515"/>
      <c r="GK319" s="515"/>
      <c r="GL319" s="515"/>
      <c r="GM319" s="515"/>
      <c r="GN319" s="515"/>
    </row>
    <row r="320" spans="1:196" ht="13.8" collapsed="1" x14ac:dyDescent="0.25">
      <c r="C320" s="923">
        <v>325574</v>
      </c>
      <c r="D320" s="923">
        <f>C320-G320</f>
        <v>-0.20054500002879649</v>
      </c>
      <c r="E320" s="151" t="s">
        <v>1183</v>
      </c>
      <c r="F320" s="145" t="s">
        <v>205</v>
      </c>
      <c r="G320" s="1">
        <v>325574.20054500003</v>
      </c>
      <c r="H320" s="302">
        <v>343948.80554049998</v>
      </c>
      <c r="I320" s="132">
        <f t="shared" si="38"/>
        <v>18374.604995499947</v>
      </c>
      <c r="J320" s="867">
        <f t="shared" si="37"/>
        <v>5.6437533946920519E-2</v>
      </c>
      <c r="K320" s="220"/>
      <c r="L320" s="224"/>
    </row>
    <row r="321" spans="1:196" s="104" customFormat="1" ht="13.8" hidden="1" outlineLevel="1" x14ac:dyDescent="0.25">
      <c r="A321" s="810" t="s">
        <v>779</v>
      </c>
      <c r="B321" s="810" t="s">
        <v>228</v>
      </c>
      <c r="C321" s="923"/>
      <c r="D321" s="923"/>
      <c r="E321" s="159"/>
      <c r="F321" s="160" t="s">
        <v>228</v>
      </c>
      <c r="G321" s="296">
        <v>163319.200545</v>
      </c>
      <c r="H321" s="304">
        <v>143648.80554049995</v>
      </c>
      <c r="I321" s="122">
        <f t="shared" si="38"/>
        <v>-19670.395004500053</v>
      </c>
      <c r="J321" s="865">
        <f t="shared" si="37"/>
        <v>-0.1204414112906473</v>
      </c>
      <c r="K321" s="218" t="s">
        <v>1655</v>
      </c>
      <c r="L321" s="224"/>
      <c r="M321" s="107"/>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T321"/>
      <c r="FU321"/>
      <c r="FV321"/>
      <c r="FW321"/>
      <c r="FX321"/>
      <c r="FY321"/>
      <c r="FZ321"/>
      <c r="GA321"/>
      <c r="GB321"/>
      <c r="GC321"/>
      <c r="GD321"/>
      <c r="GE321"/>
      <c r="GF321"/>
      <c r="GG321"/>
      <c r="GH321"/>
      <c r="GI321"/>
      <c r="GJ321"/>
      <c r="GK321"/>
      <c r="GL321"/>
      <c r="GM321"/>
      <c r="GN321"/>
    </row>
    <row r="322" spans="1:196" s="104" customFormat="1" ht="69" hidden="1" outlineLevel="1" x14ac:dyDescent="0.25">
      <c r="A322" s="810" t="s">
        <v>779</v>
      </c>
      <c r="B322" s="810" t="s">
        <v>554</v>
      </c>
      <c r="C322" s="923"/>
      <c r="D322" s="923"/>
      <c r="E322" s="214"/>
      <c r="F322" s="215" t="s">
        <v>198</v>
      </c>
      <c r="G322" s="296">
        <v>161255</v>
      </c>
      <c r="H322" s="304">
        <v>196300</v>
      </c>
      <c r="I322" s="153">
        <f t="shared" si="38"/>
        <v>35045</v>
      </c>
      <c r="J322" s="878">
        <f t="shared" si="37"/>
        <v>0.21732659452420081</v>
      </c>
      <c r="K322" s="455" t="s">
        <v>1279</v>
      </c>
      <c r="L322" s="224"/>
      <c r="M322" s="107"/>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T322"/>
      <c r="FU322"/>
      <c r="FV322"/>
      <c r="FW322"/>
      <c r="FX322"/>
      <c r="FY322"/>
      <c r="FZ322"/>
      <c r="GA322"/>
      <c r="GB322"/>
      <c r="GC322"/>
      <c r="GD322"/>
      <c r="GE322"/>
      <c r="GF322"/>
      <c r="GG322"/>
      <c r="GH322"/>
      <c r="GI322"/>
      <c r="GJ322"/>
      <c r="GK322"/>
      <c r="GL322"/>
      <c r="GM322"/>
      <c r="GN322"/>
    </row>
    <row r="323" spans="1:196" s="104" customFormat="1" ht="13.8" hidden="1" outlineLevel="1" x14ac:dyDescent="0.25">
      <c r="A323" s="810" t="s">
        <v>779</v>
      </c>
      <c r="B323" s="810" t="s">
        <v>556</v>
      </c>
      <c r="C323" s="923"/>
      <c r="D323" s="923"/>
      <c r="E323" s="159"/>
      <c r="F323" s="160" t="s">
        <v>197</v>
      </c>
      <c r="G323" s="296">
        <v>1000</v>
      </c>
      <c r="H323" s="304">
        <v>4000</v>
      </c>
      <c r="I323" s="153">
        <f t="shared" si="38"/>
        <v>3000</v>
      </c>
      <c r="J323" s="878">
        <f t="shared" si="37"/>
        <v>3</v>
      </c>
      <c r="K323" s="218"/>
      <c r="L323" s="224"/>
      <c r="M323" s="107"/>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T323"/>
      <c r="FU323"/>
      <c r="FV323"/>
      <c r="FW323"/>
      <c r="FX323"/>
      <c r="FY323"/>
      <c r="FZ323"/>
      <c r="GA323"/>
      <c r="GB323"/>
      <c r="GC323"/>
      <c r="GD323"/>
      <c r="GE323"/>
      <c r="GF323"/>
      <c r="GG323"/>
      <c r="GH323"/>
      <c r="GI323"/>
      <c r="GJ323"/>
      <c r="GK323"/>
      <c r="GL323"/>
      <c r="GM323"/>
      <c r="GN323"/>
    </row>
    <row r="324" spans="1:196" s="525" customFormat="1" ht="13.8" hidden="1" outlineLevel="1" x14ac:dyDescent="0.25">
      <c r="A324" s="1415" t="s">
        <v>780</v>
      </c>
      <c r="B324" s="1415" t="s">
        <v>182</v>
      </c>
      <c r="C324" s="1416">
        <v>248227</v>
      </c>
      <c r="D324" s="1416">
        <f>C324-G324</f>
        <v>-0.29338400001870468</v>
      </c>
      <c r="E324" s="523"/>
      <c r="F324" s="520" t="s">
        <v>167</v>
      </c>
      <c r="G324" s="505">
        <v>248227.29338400002</v>
      </c>
      <c r="H324" s="505">
        <v>299307.76862000005</v>
      </c>
      <c r="I324" s="510">
        <f t="shared" si="38"/>
        <v>51080.475236000028</v>
      </c>
      <c r="J324" s="876">
        <f t="shared" si="37"/>
        <v>0.20578105872096869</v>
      </c>
      <c r="K324" s="1458"/>
      <c r="L324" s="1417"/>
      <c r="M324" s="1122"/>
      <c r="N324" s="515"/>
      <c r="O324" s="515"/>
      <c r="P324" s="515"/>
      <c r="Q324" s="515"/>
      <c r="R324" s="515"/>
      <c r="S324" s="515"/>
      <c r="T324" s="515"/>
      <c r="U324" s="515"/>
      <c r="V324" s="515"/>
      <c r="W324" s="515"/>
      <c r="X324" s="515"/>
      <c r="Y324" s="515"/>
      <c r="Z324" s="515"/>
      <c r="AA324" s="515"/>
      <c r="AB324" s="515"/>
      <c r="AC324" s="515"/>
      <c r="AD324" s="515"/>
      <c r="AE324" s="515"/>
      <c r="AF324" s="515"/>
      <c r="AG324" s="515"/>
      <c r="AH324" s="515"/>
      <c r="AI324" s="515"/>
      <c r="AJ324" s="515"/>
      <c r="AK324" s="515"/>
      <c r="AL324" s="515"/>
      <c r="AM324" s="515"/>
      <c r="AN324" s="515"/>
      <c r="AO324" s="515"/>
      <c r="AP324" s="515"/>
      <c r="AQ324" s="515"/>
      <c r="AR324" s="515"/>
      <c r="AS324" s="515"/>
      <c r="AT324" s="515"/>
      <c r="AU324" s="515"/>
      <c r="AV324" s="515"/>
      <c r="AW324" s="515"/>
      <c r="AX324" s="515"/>
      <c r="AY324" s="515"/>
      <c r="AZ324" s="515"/>
      <c r="BA324" s="515"/>
      <c r="BB324" s="515"/>
      <c r="BC324" s="515"/>
      <c r="BD324" s="515"/>
      <c r="BE324" s="515"/>
      <c r="BF324" s="515"/>
      <c r="BG324" s="515"/>
      <c r="BH324" s="515"/>
      <c r="BI324" s="515"/>
      <c r="BJ324" s="515"/>
      <c r="BK324" s="515"/>
      <c r="BL324" s="515"/>
      <c r="BM324" s="515"/>
      <c r="BN324" s="515"/>
      <c r="BO324" s="515"/>
      <c r="BP324" s="515"/>
      <c r="BQ324" s="515"/>
      <c r="BR324" s="515"/>
      <c r="BS324" s="515"/>
      <c r="BT324" s="515"/>
      <c r="BU324" s="515"/>
      <c r="BV324" s="515"/>
      <c r="BW324" s="515"/>
      <c r="BX324" s="515"/>
      <c r="BY324" s="515"/>
      <c r="BZ324" s="515"/>
      <c r="CA324" s="515"/>
      <c r="CB324" s="515"/>
      <c r="CC324" s="515"/>
      <c r="CD324" s="515"/>
      <c r="CE324" s="515"/>
      <c r="CF324" s="515"/>
      <c r="CG324" s="515"/>
      <c r="CH324" s="515"/>
      <c r="CI324" s="515"/>
      <c r="CJ324" s="515"/>
      <c r="CK324" s="515"/>
      <c r="CL324" s="515"/>
      <c r="CM324" s="515"/>
      <c r="CN324" s="515"/>
      <c r="CO324" s="515"/>
      <c r="CP324" s="515"/>
      <c r="CQ324" s="515"/>
      <c r="CR324" s="515"/>
      <c r="CS324" s="515"/>
      <c r="CT324" s="515"/>
      <c r="CU324" s="515"/>
      <c r="CV324" s="515"/>
      <c r="CW324" s="515"/>
      <c r="CX324" s="515"/>
      <c r="CY324" s="515"/>
      <c r="CZ324" s="515"/>
      <c r="DA324" s="515"/>
      <c r="DB324" s="515"/>
      <c r="DC324" s="515"/>
      <c r="DD324" s="515"/>
      <c r="DE324" s="515"/>
      <c r="DF324" s="515"/>
      <c r="DG324" s="515"/>
      <c r="DH324" s="515"/>
      <c r="DI324" s="515"/>
      <c r="DJ324" s="515"/>
      <c r="DK324" s="515"/>
      <c r="DL324" s="515"/>
      <c r="DM324" s="515"/>
      <c r="DN324" s="515"/>
      <c r="DO324" s="515"/>
      <c r="DP324" s="515"/>
      <c r="DQ324" s="515"/>
      <c r="DR324" s="515"/>
      <c r="DS324" s="515"/>
      <c r="DT324" s="515"/>
      <c r="DU324" s="515"/>
      <c r="DV324" s="515"/>
      <c r="DW324" s="515"/>
      <c r="DX324" s="515"/>
      <c r="DY324" s="515"/>
      <c r="DZ324" s="515"/>
      <c r="EA324" s="515"/>
      <c r="EB324" s="515"/>
      <c r="EC324" s="515"/>
      <c r="ED324" s="515"/>
      <c r="EE324" s="515"/>
      <c r="EF324" s="515"/>
      <c r="EG324" s="515"/>
      <c r="EH324" s="515"/>
      <c r="EI324" s="515"/>
      <c r="EJ324" s="515"/>
      <c r="EK324" s="515"/>
      <c r="EL324" s="515"/>
      <c r="EM324" s="515"/>
      <c r="EN324" s="515"/>
      <c r="EO324" s="515"/>
      <c r="EP324" s="515"/>
      <c r="EQ324" s="515"/>
      <c r="ER324" s="515"/>
      <c r="ES324" s="515"/>
      <c r="ET324" s="515"/>
      <c r="EU324" s="515"/>
      <c r="EV324" s="515"/>
      <c r="EW324" s="515"/>
      <c r="EX324" s="515"/>
      <c r="EY324" s="515"/>
      <c r="EZ324" s="515"/>
      <c r="FA324" s="515"/>
      <c r="FB324" s="515"/>
      <c r="FC324" s="515"/>
      <c r="FD324" s="515"/>
      <c r="FE324" s="515"/>
      <c r="FF324" s="515"/>
      <c r="FG324" s="515"/>
      <c r="FH324" s="515"/>
      <c r="FI324" s="515"/>
      <c r="FJ324" s="515"/>
      <c r="FK324" s="515"/>
      <c r="FL324" s="515"/>
      <c r="FM324" s="515"/>
      <c r="FN324" s="515"/>
      <c r="FO324" s="515"/>
      <c r="FP324" s="515"/>
      <c r="FQ324" s="515"/>
      <c r="FR324" s="515"/>
      <c r="FS324" s="515"/>
      <c r="FT324" s="515"/>
      <c r="FU324" s="515"/>
      <c r="FV324" s="515"/>
      <c r="FW324" s="515"/>
      <c r="FX324" s="515"/>
      <c r="FY324" s="515"/>
      <c r="FZ324" s="515"/>
      <c r="GA324" s="515"/>
      <c r="GB324" s="515"/>
      <c r="GC324" s="515"/>
      <c r="GD324" s="515"/>
      <c r="GE324" s="515"/>
      <c r="GF324" s="515"/>
      <c r="GG324" s="515"/>
      <c r="GH324" s="515"/>
      <c r="GI324" s="515"/>
      <c r="GJ324" s="515"/>
      <c r="GK324" s="515"/>
      <c r="GL324" s="515"/>
      <c r="GM324" s="515"/>
      <c r="GN324" s="515"/>
    </row>
    <row r="325" spans="1:196" s="525" customFormat="1" ht="13.8" hidden="1" outlineLevel="1" x14ac:dyDescent="0.25">
      <c r="A325" s="1415" t="s">
        <v>779</v>
      </c>
      <c r="B325" s="1415" t="s">
        <v>555</v>
      </c>
      <c r="C325" s="1416"/>
      <c r="D325" s="1416"/>
      <c r="E325" s="523"/>
      <c r="F325" s="520" t="s">
        <v>555</v>
      </c>
      <c r="G325" s="505">
        <v>0</v>
      </c>
      <c r="H325" s="505">
        <v>0</v>
      </c>
      <c r="I325" s="510">
        <f t="shared" si="38"/>
        <v>0</v>
      </c>
      <c r="J325" s="876" t="str">
        <f t="shared" si="37"/>
        <v>-</v>
      </c>
      <c r="K325" s="1458"/>
      <c r="L325" s="1417"/>
      <c r="M325" s="1122"/>
      <c r="N325" s="515"/>
      <c r="O325" s="515"/>
      <c r="P325" s="515"/>
      <c r="Q325" s="515"/>
      <c r="R325" s="515"/>
      <c r="S325" s="515"/>
      <c r="T325" s="515"/>
      <c r="U325" s="515"/>
      <c r="V325" s="515"/>
      <c r="W325" s="515"/>
      <c r="X325" s="515"/>
      <c r="Y325" s="515"/>
      <c r="Z325" s="515"/>
      <c r="AA325" s="515"/>
      <c r="AB325" s="515"/>
      <c r="AC325" s="515"/>
      <c r="AD325" s="515"/>
      <c r="AE325" s="515"/>
      <c r="AF325" s="515"/>
      <c r="AG325" s="515"/>
      <c r="AH325" s="515"/>
      <c r="AI325" s="515"/>
      <c r="AJ325" s="515"/>
      <c r="AK325" s="515"/>
      <c r="AL325" s="515"/>
      <c r="AM325" s="515"/>
      <c r="AN325" s="515"/>
      <c r="AO325" s="515"/>
      <c r="AP325" s="515"/>
      <c r="AQ325" s="515"/>
      <c r="AR325" s="515"/>
      <c r="AS325" s="515"/>
      <c r="AT325" s="515"/>
      <c r="AU325" s="515"/>
      <c r="AV325" s="515"/>
      <c r="AW325" s="515"/>
      <c r="AX325" s="515"/>
      <c r="AY325" s="515"/>
      <c r="AZ325" s="515"/>
      <c r="BA325" s="515"/>
      <c r="BB325" s="515"/>
      <c r="BC325" s="515"/>
      <c r="BD325" s="515"/>
      <c r="BE325" s="515"/>
      <c r="BF325" s="515"/>
      <c r="BG325" s="515"/>
      <c r="BH325" s="515"/>
      <c r="BI325" s="515"/>
      <c r="BJ325" s="515"/>
      <c r="BK325" s="515"/>
      <c r="BL325" s="515"/>
      <c r="BM325" s="515"/>
      <c r="BN325" s="515"/>
      <c r="BO325" s="515"/>
      <c r="BP325" s="515"/>
      <c r="BQ325" s="515"/>
      <c r="BR325" s="515"/>
      <c r="BS325" s="515"/>
      <c r="BT325" s="515"/>
      <c r="BU325" s="515"/>
      <c r="BV325" s="515"/>
      <c r="BW325" s="515"/>
      <c r="BX325" s="515"/>
      <c r="BY325" s="515"/>
      <c r="BZ325" s="515"/>
      <c r="CA325" s="515"/>
      <c r="CB325" s="515"/>
      <c r="CC325" s="515"/>
      <c r="CD325" s="515"/>
      <c r="CE325" s="515"/>
      <c r="CF325" s="515"/>
      <c r="CG325" s="515"/>
      <c r="CH325" s="515"/>
      <c r="CI325" s="515"/>
      <c r="CJ325" s="515"/>
      <c r="CK325" s="515"/>
      <c r="CL325" s="515"/>
      <c r="CM325" s="515"/>
      <c r="CN325" s="515"/>
      <c r="CO325" s="515"/>
      <c r="CP325" s="515"/>
      <c r="CQ325" s="515"/>
      <c r="CR325" s="515"/>
      <c r="CS325" s="515"/>
      <c r="CT325" s="515"/>
      <c r="CU325" s="515"/>
      <c r="CV325" s="515"/>
      <c r="CW325" s="515"/>
      <c r="CX325" s="515"/>
      <c r="CY325" s="515"/>
      <c r="CZ325" s="515"/>
      <c r="DA325" s="515"/>
      <c r="DB325" s="515"/>
      <c r="DC325" s="515"/>
      <c r="DD325" s="515"/>
      <c r="DE325" s="515"/>
      <c r="DF325" s="515"/>
      <c r="DG325" s="515"/>
      <c r="DH325" s="515"/>
      <c r="DI325" s="515"/>
      <c r="DJ325" s="515"/>
      <c r="DK325" s="515"/>
      <c r="DL325" s="515"/>
      <c r="DM325" s="515"/>
      <c r="DN325" s="515"/>
      <c r="DO325" s="515"/>
      <c r="DP325" s="515"/>
      <c r="DQ325" s="515"/>
      <c r="DR325" s="515"/>
      <c r="DS325" s="515"/>
      <c r="DT325" s="515"/>
      <c r="DU325" s="515"/>
      <c r="DV325" s="515"/>
      <c r="DW325" s="515"/>
      <c r="DX325" s="515"/>
      <c r="DY325" s="515"/>
      <c r="DZ325" s="515"/>
      <c r="EA325" s="515"/>
      <c r="EB325" s="515"/>
      <c r="EC325" s="515"/>
      <c r="ED325" s="515"/>
      <c r="EE325" s="515"/>
      <c r="EF325" s="515"/>
      <c r="EG325" s="515"/>
      <c r="EH325" s="515"/>
      <c r="EI325" s="515"/>
      <c r="EJ325" s="515"/>
      <c r="EK325" s="515"/>
      <c r="EL325" s="515"/>
      <c r="EM325" s="515"/>
      <c r="EN325" s="515"/>
      <c r="EO325" s="515"/>
      <c r="EP325" s="515"/>
      <c r="EQ325" s="515"/>
      <c r="ER325" s="515"/>
      <c r="ES325" s="515"/>
      <c r="ET325" s="515"/>
      <c r="EU325" s="515"/>
      <c r="EV325" s="515"/>
      <c r="EW325" s="515"/>
      <c r="EX325" s="515"/>
      <c r="EY325" s="515"/>
      <c r="EZ325" s="515"/>
      <c r="FA325" s="515"/>
      <c r="FB325" s="515"/>
      <c r="FC325" s="515"/>
      <c r="FD325" s="515"/>
      <c r="FE325" s="515"/>
      <c r="FF325" s="515"/>
      <c r="FG325" s="515"/>
      <c r="FH325" s="515"/>
      <c r="FI325" s="515"/>
      <c r="FJ325" s="515"/>
      <c r="FK325" s="515"/>
      <c r="FL325" s="515"/>
      <c r="FM325" s="515"/>
      <c r="FN325" s="515"/>
      <c r="FO325" s="515"/>
      <c r="FP325" s="515"/>
      <c r="FQ325" s="515"/>
      <c r="FR325" s="515"/>
      <c r="FS325" s="515"/>
      <c r="FT325" s="515"/>
      <c r="FU325" s="515"/>
      <c r="FV325" s="515"/>
      <c r="FW325" s="515"/>
      <c r="FX325" s="515"/>
      <c r="FY325" s="515"/>
      <c r="FZ325" s="515"/>
      <c r="GA325" s="515"/>
      <c r="GB325" s="515"/>
      <c r="GC325" s="515"/>
      <c r="GD325" s="515"/>
      <c r="GE325" s="515"/>
      <c r="GF325" s="515"/>
      <c r="GG325" s="515"/>
      <c r="GH325" s="515"/>
      <c r="GI325" s="515"/>
      <c r="GJ325" s="515"/>
      <c r="GK325" s="515"/>
      <c r="GL325" s="515"/>
      <c r="GM325" s="515"/>
      <c r="GN325" s="515"/>
    </row>
    <row r="326" spans="1:196" ht="27.6" collapsed="1" x14ac:dyDescent="0.25">
      <c r="E326" s="151" t="s">
        <v>1184</v>
      </c>
      <c r="F326" s="145" t="s">
        <v>203</v>
      </c>
      <c r="G326" s="1">
        <v>179248.81688925001</v>
      </c>
      <c r="H326" s="302">
        <v>225484.5193245</v>
      </c>
      <c r="I326" s="132">
        <f t="shared" si="38"/>
        <v>46235.702435249987</v>
      </c>
      <c r="J326" s="867">
        <f t="shared" si="37"/>
        <v>0.25794146504083765</v>
      </c>
      <c r="K326" s="220"/>
      <c r="L326" s="224"/>
    </row>
    <row r="327" spans="1:196" s="104" customFormat="1" ht="27.6" hidden="1" outlineLevel="1" x14ac:dyDescent="0.25">
      <c r="A327" s="810" t="s">
        <v>739</v>
      </c>
      <c r="B327" s="810" t="s">
        <v>228</v>
      </c>
      <c r="C327" s="923"/>
      <c r="D327" s="923"/>
      <c r="E327" s="159"/>
      <c r="F327" s="215" t="s">
        <v>228</v>
      </c>
      <c r="G327" s="296">
        <v>138892.65688925001</v>
      </c>
      <c r="H327" s="304">
        <v>187235.25682450001</v>
      </c>
      <c r="I327" s="153">
        <f>H327-G327</f>
        <v>48342.599935250008</v>
      </c>
      <c r="J327" s="878">
        <f t="shared" si="37"/>
        <v>0.34805727687819632</v>
      </c>
      <c r="K327" s="438" t="s">
        <v>1656</v>
      </c>
      <c r="L327" s="224"/>
      <c r="M327" s="10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T327"/>
      <c r="FU327"/>
      <c r="FV327"/>
      <c r="FW327"/>
      <c r="FX327"/>
      <c r="FY327"/>
      <c r="FZ327"/>
      <c r="GA327"/>
      <c r="GB327"/>
      <c r="GC327"/>
      <c r="GD327"/>
      <c r="GE327"/>
      <c r="GF327"/>
      <c r="GG327"/>
      <c r="GH327"/>
      <c r="GI327"/>
      <c r="GJ327"/>
      <c r="GK327"/>
      <c r="GL327"/>
      <c r="GM327"/>
      <c r="GN327"/>
    </row>
    <row r="328" spans="1:196" s="104" customFormat="1" ht="13.8" hidden="1" outlineLevel="1" x14ac:dyDescent="0.25">
      <c r="A328" s="810" t="s">
        <v>739</v>
      </c>
      <c r="B328" s="810" t="s">
        <v>554</v>
      </c>
      <c r="C328" s="923"/>
      <c r="D328" s="923"/>
      <c r="E328" s="214"/>
      <c r="F328" s="160" t="s">
        <v>198</v>
      </c>
      <c r="G328" s="296">
        <v>39006.160000000003</v>
      </c>
      <c r="H328" s="304">
        <v>36949.262499999997</v>
      </c>
      <c r="I328" s="153">
        <f t="shared" si="38"/>
        <v>-2056.8975000000064</v>
      </c>
      <c r="J328" s="878">
        <f t="shared" si="37"/>
        <v>-5.2732632486766351E-2</v>
      </c>
      <c r="K328" s="438"/>
      <c r="L328" s="224"/>
      <c r="M328" s="107"/>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T328"/>
      <c r="FU328"/>
      <c r="FV328"/>
      <c r="FW328"/>
      <c r="FX328"/>
      <c r="FY328"/>
      <c r="FZ328"/>
      <c r="GA328"/>
      <c r="GB328"/>
      <c r="GC328"/>
      <c r="GD328"/>
      <c r="GE328"/>
      <c r="GF328"/>
      <c r="GG328"/>
      <c r="GH328"/>
      <c r="GI328"/>
      <c r="GJ328"/>
      <c r="GK328"/>
      <c r="GL328"/>
      <c r="GM328"/>
      <c r="GN328"/>
    </row>
    <row r="329" spans="1:196" s="104" customFormat="1" ht="13.8" hidden="1" outlineLevel="1" x14ac:dyDescent="0.25">
      <c r="A329" s="810" t="s">
        <v>739</v>
      </c>
      <c r="B329" s="810" t="s">
        <v>556</v>
      </c>
      <c r="C329" s="923"/>
      <c r="D329" s="923"/>
      <c r="E329" s="159"/>
      <c r="F329" s="160" t="s">
        <v>197</v>
      </c>
      <c r="G329" s="296">
        <v>1350</v>
      </c>
      <c r="H329" s="304">
        <v>1300</v>
      </c>
      <c r="I329" s="153">
        <f t="shared" si="38"/>
        <v>-50</v>
      </c>
      <c r="J329" s="878">
        <f t="shared" si="37"/>
        <v>-3.7037037037037035E-2</v>
      </c>
      <c r="K329" s="218"/>
      <c r="L329" s="224"/>
      <c r="M329" s="107"/>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row>
    <row r="330" spans="1:196" s="525" customFormat="1" ht="13.8" hidden="1" outlineLevel="1" x14ac:dyDescent="0.25">
      <c r="A330" s="1415" t="s">
        <v>739</v>
      </c>
      <c r="B330" s="1415" t="s">
        <v>555</v>
      </c>
      <c r="C330" s="1416"/>
      <c r="D330" s="1416"/>
      <c r="E330" s="523"/>
      <c r="F330" s="520" t="s">
        <v>555</v>
      </c>
      <c r="G330" s="505">
        <v>94860.34</v>
      </c>
      <c r="H330" s="505">
        <v>92934.799999999988</v>
      </c>
      <c r="I330" s="510">
        <f t="shared" si="38"/>
        <v>-1925.5400000000081</v>
      </c>
      <c r="J330" s="876">
        <f t="shared" si="37"/>
        <v>-2.0298683306427198E-2</v>
      </c>
      <c r="K330" s="1458"/>
      <c r="L330" s="1417"/>
      <c r="M330" s="1122"/>
      <c r="N330" s="515"/>
      <c r="O330" s="515"/>
      <c r="P330" s="515"/>
      <c r="Q330" s="515"/>
      <c r="R330" s="515"/>
      <c r="S330" s="515"/>
      <c r="T330" s="515"/>
      <c r="U330" s="515"/>
      <c r="V330" s="515"/>
      <c r="W330" s="515"/>
      <c r="X330" s="515"/>
      <c r="Y330" s="515"/>
      <c r="Z330" s="515"/>
      <c r="AA330" s="515"/>
      <c r="AB330" s="515"/>
      <c r="AC330" s="515"/>
      <c r="AD330" s="515"/>
      <c r="AE330" s="515"/>
      <c r="AF330" s="515"/>
      <c r="AG330" s="515"/>
      <c r="AH330" s="515"/>
      <c r="AI330" s="515"/>
      <c r="AJ330" s="515"/>
      <c r="AK330" s="515"/>
      <c r="AL330" s="515"/>
      <c r="AM330" s="515"/>
      <c r="AN330" s="515"/>
      <c r="AO330" s="515"/>
      <c r="AP330" s="515"/>
      <c r="AQ330" s="515"/>
      <c r="AR330" s="515"/>
      <c r="AS330" s="515"/>
      <c r="AT330" s="515"/>
      <c r="AU330" s="515"/>
      <c r="AV330" s="515"/>
      <c r="AW330" s="515"/>
      <c r="AX330" s="515"/>
      <c r="AY330" s="515"/>
      <c r="AZ330" s="515"/>
      <c r="BA330" s="515"/>
      <c r="BB330" s="515"/>
      <c r="BC330" s="515"/>
      <c r="BD330" s="515"/>
      <c r="BE330" s="515"/>
      <c r="BF330" s="515"/>
      <c r="BG330" s="515"/>
      <c r="BH330" s="515"/>
      <c r="BI330" s="515"/>
      <c r="BJ330" s="515"/>
      <c r="BK330" s="515"/>
      <c r="BL330" s="515"/>
      <c r="BM330" s="515"/>
      <c r="BN330" s="515"/>
      <c r="BO330" s="515"/>
      <c r="BP330" s="515"/>
      <c r="BQ330" s="515"/>
      <c r="BR330" s="515"/>
      <c r="BS330" s="515"/>
      <c r="BT330" s="515"/>
      <c r="BU330" s="515"/>
      <c r="BV330" s="515"/>
      <c r="BW330" s="515"/>
      <c r="BX330" s="515"/>
      <c r="BY330" s="515"/>
      <c r="BZ330" s="515"/>
      <c r="CA330" s="515"/>
      <c r="CB330" s="515"/>
      <c r="CC330" s="515"/>
      <c r="CD330" s="515"/>
      <c r="CE330" s="515"/>
      <c r="CF330" s="515"/>
      <c r="CG330" s="515"/>
      <c r="CH330" s="515"/>
      <c r="CI330" s="515"/>
      <c r="CJ330" s="515"/>
      <c r="CK330" s="515"/>
      <c r="CL330" s="515"/>
      <c r="CM330" s="515"/>
      <c r="CN330" s="515"/>
      <c r="CO330" s="515"/>
      <c r="CP330" s="515"/>
      <c r="CQ330" s="515"/>
      <c r="CR330" s="515"/>
      <c r="CS330" s="515"/>
      <c r="CT330" s="515"/>
      <c r="CU330" s="515"/>
      <c r="CV330" s="515"/>
      <c r="CW330" s="515"/>
      <c r="CX330" s="515"/>
      <c r="CY330" s="515"/>
      <c r="CZ330" s="515"/>
      <c r="DA330" s="515"/>
      <c r="DB330" s="515"/>
      <c r="DC330" s="515"/>
      <c r="DD330" s="515"/>
      <c r="DE330" s="515"/>
      <c r="DF330" s="515"/>
      <c r="DG330" s="515"/>
      <c r="DH330" s="515"/>
      <c r="DI330" s="515"/>
      <c r="DJ330" s="515"/>
      <c r="DK330" s="515"/>
      <c r="DL330" s="515"/>
      <c r="DM330" s="515"/>
      <c r="DN330" s="515"/>
      <c r="DO330" s="515"/>
      <c r="DP330" s="515"/>
      <c r="DQ330" s="515"/>
      <c r="DR330" s="515"/>
      <c r="DS330" s="515"/>
      <c r="DT330" s="515"/>
      <c r="DU330" s="515"/>
      <c r="DV330" s="515"/>
      <c r="DW330" s="515"/>
      <c r="DX330" s="515"/>
      <c r="DY330" s="515"/>
      <c r="DZ330" s="515"/>
      <c r="EA330" s="515"/>
      <c r="EB330" s="515"/>
      <c r="EC330" s="515"/>
      <c r="ED330" s="515"/>
      <c r="EE330" s="515"/>
      <c r="EF330" s="515"/>
      <c r="EG330" s="515"/>
      <c r="EH330" s="515"/>
      <c r="EI330" s="515"/>
      <c r="EJ330" s="515"/>
      <c r="EK330" s="515"/>
      <c r="EL330" s="515"/>
      <c r="EM330" s="515"/>
      <c r="EN330" s="515"/>
      <c r="EO330" s="515"/>
      <c r="EP330" s="515"/>
      <c r="EQ330" s="515"/>
      <c r="ER330" s="515"/>
      <c r="ES330" s="515"/>
      <c r="ET330" s="515"/>
      <c r="EU330" s="515"/>
      <c r="EV330" s="515"/>
      <c r="EW330" s="515"/>
      <c r="EX330" s="515"/>
      <c r="EY330" s="515"/>
      <c r="EZ330" s="515"/>
      <c r="FA330" s="515"/>
      <c r="FB330" s="515"/>
      <c r="FC330" s="515"/>
      <c r="FD330" s="515"/>
      <c r="FE330" s="515"/>
      <c r="FF330" s="515"/>
      <c r="FG330" s="515"/>
      <c r="FH330" s="515"/>
      <c r="FI330" s="515"/>
      <c r="FJ330" s="515"/>
      <c r="FK330" s="515"/>
      <c r="FL330" s="515"/>
      <c r="FM330" s="515"/>
      <c r="FN330" s="515"/>
      <c r="FO330" s="515"/>
      <c r="FP330" s="515"/>
      <c r="FQ330" s="515"/>
      <c r="FR330" s="515"/>
      <c r="FS330" s="515"/>
      <c r="FT330" s="515"/>
      <c r="FU330" s="515"/>
      <c r="FV330" s="515"/>
      <c r="FW330" s="515"/>
      <c r="FX330" s="515"/>
      <c r="FY330" s="515"/>
      <c r="FZ330" s="515"/>
      <c r="GA330" s="515"/>
      <c r="GB330" s="515"/>
      <c r="GC330" s="515"/>
      <c r="GD330" s="515"/>
      <c r="GE330" s="515"/>
      <c r="GF330" s="515"/>
      <c r="GG330" s="515"/>
      <c r="GH330" s="515"/>
      <c r="GI330" s="515"/>
      <c r="GJ330" s="515"/>
      <c r="GK330" s="515"/>
      <c r="GL330" s="515"/>
      <c r="GM330" s="515"/>
      <c r="GN330" s="515"/>
    </row>
    <row r="331" spans="1:196" ht="13.8" collapsed="1" x14ac:dyDescent="0.25">
      <c r="E331" s="151" t="s">
        <v>1185</v>
      </c>
      <c r="F331" s="145"/>
      <c r="G331" s="1"/>
      <c r="H331" s="302"/>
      <c r="I331" s="132">
        <f>H331-G331</f>
        <v>0</v>
      </c>
      <c r="J331" s="867" t="str">
        <f t="shared" si="37"/>
        <v>-</v>
      </c>
      <c r="K331" s="217"/>
      <c r="L331" s="224"/>
    </row>
    <row r="332" spans="1:196" ht="25.2" customHeight="1" x14ac:dyDescent="0.25">
      <c r="E332" s="446"/>
      <c r="F332" s="447" t="s">
        <v>651</v>
      </c>
      <c r="G332" s="451">
        <v>30299825.965670682</v>
      </c>
      <c r="H332" s="452">
        <v>36114732.254373029</v>
      </c>
      <c r="I332" s="152">
        <f>H332-G332</f>
        <v>5814906.2887023464</v>
      </c>
      <c r="J332" s="895">
        <f>I332/G332</f>
        <v>0.19191220092453867</v>
      </c>
      <c r="K332" s="453"/>
      <c r="L332" s="224"/>
    </row>
    <row r="333" spans="1:196" ht="27" customHeight="1" x14ac:dyDescent="0.25">
      <c r="E333" s="446"/>
      <c r="F333" s="447" t="s">
        <v>654</v>
      </c>
      <c r="G333" s="451">
        <v>4457388.0343293175</v>
      </c>
      <c r="H333" s="452">
        <v>424498.74562697113</v>
      </c>
      <c r="I333" s="483"/>
      <c r="J333" s="896">
        <f>H235/H332</f>
        <v>0.36012269011138548</v>
      </c>
      <c r="K333" s="450"/>
    </row>
    <row r="334" spans="1:196" ht="13.8" x14ac:dyDescent="0.25">
      <c r="E334" s="446"/>
      <c r="F334" s="447" t="s">
        <v>655</v>
      </c>
      <c r="G334" s="448">
        <v>3124493.5999999996</v>
      </c>
      <c r="H334" s="449">
        <v>3601890.1379218102</v>
      </c>
      <c r="I334" s="483"/>
      <c r="J334" s="896"/>
      <c r="K334" s="450"/>
      <c r="L334" s="224"/>
    </row>
    <row r="335" spans="1:196" ht="13.8" x14ac:dyDescent="0.25">
      <c r="E335" s="446"/>
      <c r="F335" s="447" t="s">
        <v>656</v>
      </c>
      <c r="G335" s="451">
        <v>1332894.4343293179</v>
      </c>
      <c r="H335" s="452">
        <v>-3177391.392294839</v>
      </c>
      <c r="I335" s="483"/>
      <c r="J335" s="896"/>
      <c r="K335" s="450"/>
    </row>
    <row r="336" spans="1:196" ht="13.8" x14ac:dyDescent="0.25">
      <c r="E336" s="446"/>
      <c r="F336" s="447"/>
      <c r="G336" s="448"/>
      <c r="H336" s="503"/>
      <c r="I336" s="483"/>
      <c r="J336" s="896"/>
      <c r="K336" s="450"/>
    </row>
    <row r="337" spans="6:9" ht="14.4" x14ac:dyDescent="0.3">
      <c r="F337" s="110"/>
      <c r="H337" s="445"/>
      <c r="I337" s="484"/>
    </row>
    <row r="338" spans="6:9" x14ac:dyDescent="0.2">
      <c r="G338" s="105"/>
      <c r="H338"/>
    </row>
    <row r="339" spans="6:9" x14ac:dyDescent="0.2">
      <c r="G339" s="105"/>
      <c r="H339"/>
    </row>
    <row r="340" spans="6:9" x14ac:dyDescent="0.2">
      <c r="G340" s="105"/>
    </row>
    <row r="341" spans="6:9" x14ac:dyDescent="0.2">
      <c r="G341" s="105"/>
      <c r="H341"/>
    </row>
    <row r="342" spans="6:9" x14ac:dyDescent="0.2">
      <c r="G342" s="105"/>
      <c r="H342"/>
    </row>
    <row r="343" spans="6:9" x14ac:dyDescent="0.2">
      <c r="G343" s="105"/>
      <c r="H343"/>
    </row>
    <row r="344" spans="6:9" x14ac:dyDescent="0.2">
      <c r="G344" s="105"/>
      <c r="H344"/>
    </row>
    <row r="345" spans="6:9" x14ac:dyDescent="0.2">
      <c r="G345" s="105"/>
      <c r="H345"/>
    </row>
    <row r="346" spans="6:9" x14ac:dyDescent="0.2">
      <c r="G346" s="105"/>
      <c r="H346"/>
    </row>
    <row r="347" spans="6:9" x14ac:dyDescent="0.2">
      <c r="G347" s="105"/>
      <c r="H347"/>
    </row>
    <row r="348" spans="6:9" x14ac:dyDescent="0.2">
      <c r="G348" s="105"/>
      <c r="H348"/>
    </row>
    <row r="349" spans="6:9" x14ac:dyDescent="0.2">
      <c r="G349" s="105"/>
      <c r="H349"/>
    </row>
    <row r="350" spans="6:9" x14ac:dyDescent="0.2">
      <c r="G350" s="105"/>
      <c r="H350"/>
    </row>
    <row r="351" spans="6:9" x14ac:dyDescent="0.2">
      <c r="G351" s="105"/>
      <c r="H351"/>
    </row>
    <row r="352" spans="6:9" x14ac:dyDescent="0.2">
      <c r="G352" s="105"/>
      <c r="H352"/>
    </row>
    <row r="353" spans="7:8" x14ac:dyDescent="0.2">
      <c r="G353" s="105"/>
      <c r="H353"/>
    </row>
    <row r="354" spans="7:8" x14ac:dyDescent="0.2">
      <c r="G354" s="105"/>
      <c r="H354"/>
    </row>
    <row r="355" spans="7:8" x14ac:dyDescent="0.2">
      <c r="G355" s="105"/>
      <c r="H355"/>
    </row>
    <row r="356" spans="7:8" x14ac:dyDescent="0.2">
      <c r="G356" s="105"/>
      <c r="H356"/>
    </row>
    <row r="357" spans="7:8" x14ac:dyDescent="0.2">
      <c r="G357" s="105"/>
      <c r="H357"/>
    </row>
    <row r="358" spans="7:8" x14ac:dyDescent="0.2">
      <c r="G358" s="105"/>
      <c r="H358"/>
    </row>
    <row r="359" spans="7:8" x14ac:dyDescent="0.2">
      <c r="G359" s="105"/>
      <c r="H359"/>
    </row>
    <row r="360" spans="7:8" x14ac:dyDescent="0.2">
      <c r="G360" s="105"/>
      <c r="H360"/>
    </row>
    <row r="361" spans="7:8" x14ac:dyDescent="0.2">
      <c r="G361" s="105"/>
      <c r="H361"/>
    </row>
    <row r="362" spans="7:8" x14ac:dyDescent="0.2">
      <c r="G362" s="105"/>
      <c r="H362"/>
    </row>
    <row r="363" spans="7:8" x14ac:dyDescent="0.2">
      <c r="G363" s="105"/>
      <c r="H363"/>
    </row>
    <row r="364" spans="7:8" x14ac:dyDescent="0.2">
      <c r="G364" s="105"/>
      <c r="H364"/>
    </row>
    <row r="365" spans="7:8" x14ac:dyDescent="0.2">
      <c r="G365" s="105"/>
      <c r="H365"/>
    </row>
    <row r="366" spans="7:8" x14ac:dyDescent="0.2">
      <c r="G366" s="105"/>
      <c r="H366"/>
    </row>
    <row r="367" spans="7:8" x14ac:dyDescent="0.2">
      <c r="G367" s="105"/>
      <c r="H367"/>
    </row>
    <row r="368" spans="7:8" x14ac:dyDescent="0.2">
      <c r="G368" s="105"/>
      <c r="H368"/>
    </row>
    <row r="369" spans="7:8" x14ac:dyDescent="0.2">
      <c r="G369" s="105"/>
      <c r="H369"/>
    </row>
    <row r="370" spans="7:8" x14ac:dyDescent="0.2">
      <c r="G370" s="105"/>
      <c r="H370"/>
    </row>
    <row r="371" spans="7:8" x14ac:dyDescent="0.2">
      <c r="G371" s="105"/>
      <c r="H371"/>
    </row>
    <row r="372" spans="7:8" x14ac:dyDescent="0.2">
      <c r="G372" s="105"/>
      <c r="H372"/>
    </row>
    <row r="373" spans="7:8" x14ac:dyDescent="0.2">
      <c r="G373" s="105"/>
      <c r="H373"/>
    </row>
    <row r="374" spans="7:8" x14ac:dyDescent="0.2">
      <c r="G374" s="105"/>
      <c r="H374"/>
    </row>
    <row r="375" spans="7:8" x14ac:dyDescent="0.2">
      <c r="G375" s="105"/>
      <c r="H375"/>
    </row>
    <row r="376" spans="7:8" x14ac:dyDescent="0.2">
      <c r="G376" s="105"/>
      <c r="H376"/>
    </row>
    <row r="377" spans="7:8" x14ac:dyDescent="0.2">
      <c r="G377" s="105"/>
      <c r="H377"/>
    </row>
    <row r="378" spans="7:8" x14ac:dyDescent="0.2">
      <c r="G378" s="105"/>
      <c r="H378"/>
    </row>
    <row r="379" spans="7:8" x14ac:dyDescent="0.2">
      <c r="G379" s="105"/>
      <c r="H379"/>
    </row>
    <row r="380" spans="7:8" x14ac:dyDescent="0.2">
      <c r="G380" s="105"/>
      <c r="H380"/>
    </row>
    <row r="381" spans="7:8" x14ac:dyDescent="0.2">
      <c r="G381" s="105"/>
      <c r="H381"/>
    </row>
    <row r="382" spans="7:8" x14ac:dyDescent="0.2">
      <c r="G382" s="105"/>
      <c r="H382"/>
    </row>
    <row r="383" spans="7:8" x14ac:dyDescent="0.2">
      <c r="G383" s="105"/>
      <c r="H383"/>
    </row>
    <row r="384" spans="7:8" x14ac:dyDescent="0.2">
      <c r="G384" s="105"/>
      <c r="H384"/>
    </row>
    <row r="385" spans="7:8" x14ac:dyDescent="0.2">
      <c r="G385" s="105"/>
      <c r="H385"/>
    </row>
    <row r="386" spans="7:8" x14ac:dyDescent="0.2">
      <c r="G386" s="105"/>
      <c r="H386"/>
    </row>
    <row r="387" spans="7:8" x14ac:dyDescent="0.2">
      <c r="G387" s="105"/>
      <c r="H387"/>
    </row>
    <row r="388" spans="7:8" x14ac:dyDescent="0.2">
      <c r="G388" s="105"/>
      <c r="H388"/>
    </row>
    <row r="389" spans="7:8" x14ac:dyDescent="0.2">
      <c r="G389" s="105"/>
      <c r="H389"/>
    </row>
    <row r="390" spans="7:8" x14ac:dyDescent="0.2">
      <c r="G390" s="105"/>
      <c r="H390"/>
    </row>
    <row r="391" spans="7:8" x14ac:dyDescent="0.2">
      <c r="G391" s="105"/>
      <c r="H391"/>
    </row>
    <row r="392" spans="7:8" x14ac:dyDescent="0.2">
      <c r="G392" s="105"/>
      <c r="H392"/>
    </row>
    <row r="393" spans="7:8" x14ac:dyDescent="0.2">
      <c r="G393" s="105"/>
      <c r="H393"/>
    </row>
    <row r="394" spans="7:8" x14ac:dyDescent="0.2">
      <c r="G394" s="105"/>
      <c r="H394"/>
    </row>
    <row r="395" spans="7:8" x14ac:dyDescent="0.2">
      <c r="G395" s="105"/>
      <c r="H395"/>
    </row>
    <row r="396" spans="7:8" x14ac:dyDescent="0.2">
      <c r="G396" s="105"/>
      <c r="H396"/>
    </row>
    <row r="397" spans="7:8" x14ac:dyDescent="0.2">
      <c r="G397" s="105"/>
      <c r="H397"/>
    </row>
    <row r="398" spans="7:8" x14ac:dyDescent="0.2">
      <c r="G398" s="105"/>
      <c r="H398"/>
    </row>
    <row r="399" spans="7:8" x14ac:dyDescent="0.2">
      <c r="G399" s="105"/>
      <c r="H399"/>
    </row>
    <row r="400" spans="7:8" x14ac:dyDescent="0.2">
      <c r="G400" s="105"/>
      <c r="H400"/>
    </row>
    <row r="401" spans="7:8" x14ac:dyDescent="0.2">
      <c r="G401" s="105"/>
      <c r="H401"/>
    </row>
    <row r="402" spans="7:8" x14ac:dyDescent="0.2">
      <c r="G402" s="105"/>
      <c r="H402"/>
    </row>
    <row r="403" spans="7:8" x14ac:dyDescent="0.2">
      <c r="G403" s="105"/>
      <c r="H403"/>
    </row>
    <row r="404" spans="7:8" x14ac:dyDescent="0.2">
      <c r="G404" s="105"/>
      <c r="H404"/>
    </row>
    <row r="405" spans="7:8" x14ac:dyDescent="0.2">
      <c r="G405" s="105"/>
      <c r="H405"/>
    </row>
    <row r="406" spans="7:8" x14ac:dyDescent="0.2">
      <c r="G406" s="105"/>
      <c r="H406"/>
    </row>
    <row r="407" spans="7:8" x14ac:dyDescent="0.2">
      <c r="G407" s="105"/>
      <c r="H407"/>
    </row>
    <row r="408" spans="7:8" x14ac:dyDescent="0.2">
      <c r="G408" s="105"/>
      <c r="H408"/>
    </row>
    <row r="409" spans="7:8" x14ac:dyDescent="0.2">
      <c r="G409" s="105"/>
      <c r="H409"/>
    </row>
    <row r="410" spans="7:8" x14ac:dyDescent="0.2">
      <c r="G410" s="105"/>
      <c r="H410"/>
    </row>
    <row r="411" spans="7:8" x14ac:dyDescent="0.2">
      <c r="G411" s="105"/>
      <c r="H411"/>
    </row>
    <row r="412" spans="7:8" x14ac:dyDescent="0.2">
      <c r="G412" s="105"/>
      <c r="H412"/>
    </row>
    <row r="413" spans="7:8" x14ac:dyDescent="0.2">
      <c r="G413" s="105"/>
      <c r="H413"/>
    </row>
    <row r="414" spans="7:8" x14ac:dyDescent="0.2">
      <c r="G414" s="105"/>
      <c r="H414"/>
    </row>
    <row r="415" spans="7:8" x14ac:dyDescent="0.2">
      <c r="G415" s="105"/>
      <c r="H415"/>
    </row>
    <row r="416" spans="7:8" x14ac:dyDescent="0.2">
      <c r="G416" s="105"/>
      <c r="H416"/>
    </row>
    <row r="417" spans="7:8" x14ac:dyDescent="0.2">
      <c r="G417" s="105"/>
      <c r="H417"/>
    </row>
    <row r="418" spans="7:8" x14ac:dyDescent="0.2">
      <c r="G418" s="105"/>
      <c r="H418"/>
    </row>
    <row r="419" spans="7:8" x14ac:dyDescent="0.2">
      <c r="G419" s="105"/>
      <c r="H419"/>
    </row>
    <row r="420" spans="7:8" x14ac:dyDescent="0.2">
      <c r="G420" s="105"/>
      <c r="H420"/>
    </row>
    <row r="421" spans="7:8" x14ac:dyDescent="0.2">
      <c r="G421" s="105"/>
      <c r="H421"/>
    </row>
    <row r="422" spans="7:8" x14ac:dyDescent="0.2">
      <c r="G422" s="105"/>
      <c r="H422"/>
    </row>
    <row r="423" spans="7:8" x14ac:dyDescent="0.2">
      <c r="G423" s="105"/>
      <c r="H423"/>
    </row>
    <row r="424" spans="7:8" x14ac:dyDescent="0.2">
      <c r="G424" s="105"/>
      <c r="H424"/>
    </row>
    <row r="425" spans="7:8" x14ac:dyDescent="0.2">
      <c r="G425" s="105"/>
      <c r="H425"/>
    </row>
    <row r="426" spans="7:8" x14ac:dyDescent="0.2">
      <c r="G426" s="105"/>
      <c r="H426"/>
    </row>
    <row r="427" spans="7:8" x14ac:dyDescent="0.2">
      <c r="G427" s="105"/>
      <c r="H427"/>
    </row>
    <row r="428" spans="7:8" x14ac:dyDescent="0.2">
      <c r="G428" s="105"/>
      <c r="H428"/>
    </row>
    <row r="429" spans="7:8" x14ac:dyDescent="0.2">
      <c r="G429" s="105"/>
      <c r="H429"/>
    </row>
    <row r="430" spans="7:8" x14ac:dyDescent="0.2">
      <c r="G430" s="105"/>
      <c r="H430"/>
    </row>
    <row r="431" spans="7:8" x14ac:dyDescent="0.2">
      <c r="G431" s="105"/>
      <c r="H431"/>
    </row>
    <row r="432" spans="7:8" x14ac:dyDescent="0.2">
      <c r="G432" s="105"/>
      <c r="H432"/>
    </row>
    <row r="433" spans="7:8" x14ac:dyDescent="0.2">
      <c r="G433" s="105"/>
      <c r="H433"/>
    </row>
    <row r="434" spans="7:8" x14ac:dyDescent="0.2">
      <c r="G434" s="105"/>
      <c r="H434"/>
    </row>
    <row r="435" spans="7:8" x14ac:dyDescent="0.2">
      <c r="G435" s="105"/>
      <c r="H435"/>
    </row>
    <row r="436" spans="7:8" x14ac:dyDescent="0.2">
      <c r="G436" s="105"/>
      <c r="H436"/>
    </row>
    <row r="437" spans="7:8" x14ac:dyDescent="0.2">
      <c r="G437" s="105"/>
      <c r="H437"/>
    </row>
    <row r="438" spans="7:8" x14ac:dyDescent="0.2">
      <c r="G438" s="105"/>
      <c r="H438"/>
    </row>
    <row r="439" spans="7:8" x14ac:dyDescent="0.2">
      <c r="G439" s="105"/>
      <c r="H439"/>
    </row>
    <row r="440" spans="7:8" x14ac:dyDescent="0.2">
      <c r="G440" s="105"/>
      <c r="H440"/>
    </row>
    <row r="441" spans="7:8" x14ac:dyDescent="0.2">
      <c r="G441" s="105"/>
      <c r="H441"/>
    </row>
    <row r="442" spans="7:8" x14ac:dyDescent="0.2">
      <c r="G442" s="105"/>
      <c r="H442"/>
    </row>
    <row r="443" spans="7:8" x14ac:dyDescent="0.2">
      <c r="G443" s="105"/>
      <c r="H443"/>
    </row>
    <row r="444" spans="7:8" x14ac:dyDescent="0.2">
      <c r="G444" s="105"/>
      <c r="H444"/>
    </row>
    <row r="445" spans="7:8" x14ac:dyDescent="0.2">
      <c r="G445" s="105"/>
      <c r="H445"/>
    </row>
    <row r="446" spans="7:8" x14ac:dyDescent="0.2">
      <c r="G446" s="105"/>
      <c r="H446"/>
    </row>
    <row r="447" spans="7:8" x14ac:dyDescent="0.2">
      <c r="G447" s="105"/>
      <c r="H447"/>
    </row>
    <row r="448" spans="7:8" x14ac:dyDescent="0.2">
      <c r="G448" s="105"/>
      <c r="H448"/>
    </row>
    <row r="449" spans="7:8" x14ac:dyDescent="0.2">
      <c r="G449" s="105"/>
      <c r="H449"/>
    </row>
    <row r="450" spans="7:8" x14ac:dyDescent="0.2">
      <c r="G450" s="105"/>
      <c r="H450"/>
    </row>
    <row r="451" spans="7:8" x14ac:dyDescent="0.2">
      <c r="G451" s="105"/>
      <c r="H451"/>
    </row>
    <row r="452" spans="7:8" x14ac:dyDescent="0.2">
      <c r="G452" s="105"/>
      <c r="H452"/>
    </row>
    <row r="453" spans="7:8" x14ac:dyDescent="0.2">
      <c r="G453" s="105"/>
      <c r="H453"/>
    </row>
    <row r="454" spans="7:8" x14ac:dyDescent="0.2">
      <c r="G454" s="105"/>
      <c r="H454"/>
    </row>
    <row r="455" spans="7:8" x14ac:dyDescent="0.2">
      <c r="G455" s="105"/>
      <c r="H455"/>
    </row>
    <row r="456" spans="7:8" x14ac:dyDescent="0.2">
      <c r="G456" s="105"/>
      <c r="H456"/>
    </row>
    <row r="457" spans="7:8" x14ac:dyDescent="0.2">
      <c r="G457" s="105"/>
      <c r="H457"/>
    </row>
    <row r="458" spans="7:8" x14ac:dyDescent="0.2">
      <c r="G458" s="105"/>
      <c r="H458"/>
    </row>
    <row r="459" spans="7:8" x14ac:dyDescent="0.2">
      <c r="G459" s="105"/>
      <c r="H459"/>
    </row>
    <row r="460" spans="7:8" x14ac:dyDescent="0.2">
      <c r="G460" s="105"/>
      <c r="H460"/>
    </row>
    <row r="461" spans="7:8" x14ac:dyDescent="0.2">
      <c r="G461" s="105"/>
      <c r="H461"/>
    </row>
    <row r="462" spans="7:8" x14ac:dyDescent="0.2">
      <c r="G462" s="105"/>
      <c r="H462"/>
    </row>
    <row r="463" spans="7:8" x14ac:dyDescent="0.2">
      <c r="G463" s="105"/>
      <c r="H463"/>
    </row>
    <row r="464" spans="7:8" x14ac:dyDescent="0.2">
      <c r="G464" s="105"/>
      <c r="H464"/>
    </row>
    <row r="465" spans="7:8" x14ac:dyDescent="0.2">
      <c r="G465" s="105"/>
      <c r="H465"/>
    </row>
    <row r="466" spans="7:8" x14ac:dyDescent="0.2">
      <c r="G466" s="105"/>
      <c r="H466"/>
    </row>
    <row r="467" spans="7:8" x14ac:dyDescent="0.2">
      <c r="G467" s="105"/>
      <c r="H467"/>
    </row>
    <row r="468" spans="7:8" x14ac:dyDescent="0.2">
      <c r="G468" s="105"/>
      <c r="H468"/>
    </row>
    <row r="469" spans="7:8" x14ac:dyDescent="0.2">
      <c r="G469" s="105"/>
      <c r="H469"/>
    </row>
    <row r="470" spans="7:8" x14ac:dyDescent="0.2">
      <c r="G470" s="105"/>
      <c r="H470"/>
    </row>
    <row r="471" spans="7:8" x14ac:dyDescent="0.2">
      <c r="G471" s="105"/>
      <c r="H471"/>
    </row>
    <row r="472" spans="7:8" x14ac:dyDescent="0.2">
      <c r="G472" s="105"/>
      <c r="H472"/>
    </row>
    <row r="473" spans="7:8" x14ac:dyDescent="0.2">
      <c r="G473" s="105"/>
      <c r="H473"/>
    </row>
    <row r="474" spans="7:8" x14ac:dyDescent="0.2">
      <c r="G474" s="105"/>
      <c r="H474"/>
    </row>
    <row r="475" spans="7:8" x14ac:dyDescent="0.2">
      <c r="G475" s="105"/>
      <c r="H475"/>
    </row>
    <row r="476" spans="7:8" x14ac:dyDescent="0.2">
      <c r="G476" s="105"/>
      <c r="H476"/>
    </row>
    <row r="477" spans="7:8" x14ac:dyDescent="0.2">
      <c r="G477" s="105"/>
      <c r="H477"/>
    </row>
    <row r="478" spans="7:8" x14ac:dyDescent="0.2">
      <c r="G478" s="105"/>
      <c r="H478"/>
    </row>
    <row r="479" spans="7:8" x14ac:dyDescent="0.2">
      <c r="G479" s="105"/>
      <c r="H479"/>
    </row>
    <row r="480" spans="7:8" x14ac:dyDescent="0.2">
      <c r="G480" s="105"/>
      <c r="H480"/>
    </row>
    <row r="481" spans="7:8" x14ac:dyDescent="0.2">
      <c r="G481" s="105"/>
      <c r="H481"/>
    </row>
    <row r="482" spans="7:8" x14ac:dyDescent="0.2">
      <c r="G482" s="105"/>
      <c r="H482"/>
    </row>
    <row r="483" spans="7:8" x14ac:dyDescent="0.2">
      <c r="G483" s="105"/>
      <c r="H483"/>
    </row>
    <row r="484" spans="7:8" x14ac:dyDescent="0.2">
      <c r="G484" s="105"/>
      <c r="H484"/>
    </row>
    <row r="485" spans="7:8" x14ac:dyDescent="0.2">
      <c r="G485" s="105"/>
      <c r="H485"/>
    </row>
    <row r="486" spans="7:8" x14ac:dyDescent="0.2">
      <c r="G486" s="105"/>
      <c r="H486"/>
    </row>
    <row r="487" spans="7:8" x14ac:dyDescent="0.2">
      <c r="G487" s="105"/>
      <c r="H487"/>
    </row>
    <row r="488" spans="7:8" x14ac:dyDescent="0.2">
      <c r="G488" s="105"/>
      <c r="H488"/>
    </row>
    <row r="489" spans="7:8" x14ac:dyDescent="0.2">
      <c r="G489" s="105"/>
      <c r="H489"/>
    </row>
    <row r="490" spans="7:8" x14ac:dyDescent="0.2">
      <c r="G490" s="105"/>
      <c r="H490"/>
    </row>
    <row r="491" spans="7:8" x14ac:dyDescent="0.2">
      <c r="G491" s="105"/>
      <c r="H491"/>
    </row>
    <row r="492" spans="7:8" x14ac:dyDescent="0.2">
      <c r="G492" s="105"/>
      <c r="H492"/>
    </row>
    <row r="493" spans="7:8" x14ac:dyDescent="0.2">
      <c r="G493" s="105"/>
      <c r="H493"/>
    </row>
    <row r="494" spans="7:8" x14ac:dyDescent="0.2">
      <c r="G494" s="105"/>
      <c r="H494"/>
    </row>
    <row r="495" spans="7:8" x14ac:dyDescent="0.2">
      <c r="G495" s="105"/>
      <c r="H495"/>
    </row>
    <row r="496" spans="7:8" x14ac:dyDescent="0.2">
      <c r="G496" s="105"/>
      <c r="H496"/>
    </row>
    <row r="497" spans="7:8" x14ac:dyDescent="0.2">
      <c r="G497" s="105"/>
      <c r="H497"/>
    </row>
    <row r="498" spans="7:8" x14ac:dyDescent="0.2">
      <c r="G498" s="105"/>
      <c r="H498"/>
    </row>
    <row r="499" spans="7:8" x14ac:dyDescent="0.2">
      <c r="G499" s="105"/>
      <c r="H499"/>
    </row>
    <row r="500" spans="7:8" x14ac:dyDescent="0.2">
      <c r="G500" s="105"/>
      <c r="H500"/>
    </row>
    <row r="501" spans="7:8" x14ac:dyDescent="0.2">
      <c r="G501" s="105"/>
      <c r="H501"/>
    </row>
    <row r="502" spans="7:8" x14ac:dyDescent="0.2">
      <c r="G502" s="105"/>
      <c r="H502"/>
    </row>
    <row r="503" spans="7:8" x14ac:dyDescent="0.2">
      <c r="G503" s="105"/>
      <c r="H503"/>
    </row>
    <row r="504" spans="7:8" x14ac:dyDescent="0.2">
      <c r="G504" s="105"/>
      <c r="H504"/>
    </row>
    <row r="505" spans="7:8" x14ac:dyDescent="0.2">
      <c r="G505" s="105"/>
      <c r="H505"/>
    </row>
    <row r="506" spans="7:8" x14ac:dyDescent="0.2">
      <c r="G506" s="105"/>
      <c r="H506"/>
    </row>
    <row r="507" spans="7:8" x14ac:dyDescent="0.2">
      <c r="G507" s="105"/>
      <c r="H507"/>
    </row>
    <row r="508" spans="7:8" x14ac:dyDescent="0.2">
      <c r="G508" s="105"/>
      <c r="H508"/>
    </row>
    <row r="509" spans="7:8" x14ac:dyDescent="0.2">
      <c r="G509" s="105"/>
      <c r="H509"/>
    </row>
    <row r="510" spans="7:8" x14ac:dyDescent="0.2">
      <c r="G510" s="105"/>
      <c r="H510"/>
    </row>
    <row r="511" spans="7:8" x14ac:dyDescent="0.2">
      <c r="G511" s="105"/>
      <c r="H511"/>
    </row>
    <row r="512" spans="7:8" x14ac:dyDescent="0.2">
      <c r="G512" s="105"/>
      <c r="H512"/>
    </row>
    <row r="513" spans="7:8" x14ac:dyDescent="0.2">
      <c r="G513" s="105"/>
      <c r="H513"/>
    </row>
    <row r="514" spans="7:8" x14ac:dyDescent="0.2">
      <c r="G514" s="105"/>
      <c r="H514"/>
    </row>
    <row r="515" spans="7:8" x14ac:dyDescent="0.2">
      <c r="G515" s="105"/>
      <c r="H515"/>
    </row>
    <row r="516" spans="7:8" x14ac:dyDescent="0.2">
      <c r="G516" s="105"/>
      <c r="H516"/>
    </row>
    <row r="517" spans="7:8" x14ac:dyDescent="0.2">
      <c r="G517" s="105"/>
      <c r="H517"/>
    </row>
    <row r="518" spans="7:8" x14ac:dyDescent="0.2">
      <c r="G518" s="105"/>
      <c r="H518"/>
    </row>
    <row r="519" spans="7:8" x14ac:dyDescent="0.2">
      <c r="G519" s="105"/>
      <c r="H519"/>
    </row>
    <row r="520" spans="7:8" x14ac:dyDescent="0.2">
      <c r="G520" s="105"/>
      <c r="H520"/>
    </row>
    <row r="521" spans="7:8" x14ac:dyDescent="0.2">
      <c r="G521" s="105"/>
      <c r="H521"/>
    </row>
    <row r="522" spans="7:8" x14ac:dyDescent="0.2">
      <c r="G522" s="105"/>
      <c r="H522"/>
    </row>
    <row r="523" spans="7:8" x14ac:dyDescent="0.2">
      <c r="G523" s="105"/>
      <c r="H523"/>
    </row>
    <row r="524" spans="7:8" x14ac:dyDescent="0.2">
      <c r="G524" s="105"/>
      <c r="H524"/>
    </row>
    <row r="525" spans="7:8" x14ac:dyDescent="0.2">
      <c r="G525" s="105"/>
      <c r="H525"/>
    </row>
    <row r="526" spans="7:8" x14ac:dyDescent="0.2">
      <c r="G526" s="105"/>
      <c r="H526"/>
    </row>
    <row r="527" spans="7:8" x14ac:dyDescent="0.2">
      <c r="G527" s="105"/>
      <c r="H527"/>
    </row>
    <row r="528" spans="7:8" x14ac:dyDescent="0.2">
      <c r="G528" s="105"/>
      <c r="H528"/>
    </row>
    <row r="529" spans="7:8" x14ac:dyDescent="0.2">
      <c r="G529" s="105"/>
      <c r="H529"/>
    </row>
    <row r="530" spans="7:8" x14ac:dyDescent="0.2">
      <c r="G530" s="105"/>
      <c r="H530"/>
    </row>
    <row r="531" spans="7:8" x14ac:dyDescent="0.2">
      <c r="G531" s="105"/>
      <c r="H531"/>
    </row>
    <row r="532" spans="7:8" x14ac:dyDescent="0.2">
      <c r="G532" s="105"/>
      <c r="H532"/>
    </row>
    <row r="533" spans="7:8" x14ac:dyDescent="0.2">
      <c r="G533" s="105"/>
      <c r="H533"/>
    </row>
    <row r="534" spans="7:8" x14ac:dyDescent="0.2">
      <c r="G534" s="105"/>
      <c r="H534"/>
    </row>
    <row r="535" spans="7:8" x14ac:dyDescent="0.2">
      <c r="G535" s="105"/>
      <c r="H535"/>
    </row>
    <row r="536" spans="7:8" x14ac:dyDescent="0.2">
      <c r="G536" s="105"/>
      <c r="H536"/>
    </row>
    <row r="537" spans="7:8" x14ac:dyDescent="0.2">
      <c r="G537" s="105"/>
      <c r="H537"/>
    </row>
  </sheetData>
  <mergeCells count="3">
    <mergeCell ref="E45:F45"/>
    <mergeCell ref="I283:I284"/>
    <mergeCell ref="J283:J284"/>
  </mergeCells>
  <phoneticPr fontId="73" type="noConversion"/>
  <hyperlinks>
    <hyperlink ref="K2" r:id="rId1" xr:uid="{22A342C6-9BFB-41B7-B4A7-ACB54B775494}"/>
  </hyperlinks>
  <pageMargins left="0.7" right="0.7" top="0.75" bottom="0.75" header="0.3" footer="0.3"/>
  <pageSetup scale="22"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0662-8A83-4360-8838-9045074AC9EE}">
  <sheetPr>
    <tabColor theme="7" tint="0.59999389629810485"/>
  </sheetPr>
  <dimension ref="A1:M32"/>
  <sheetViews>
    <sheetView tabSelected="1" topLeftCell="A16" zoomScale="70" zoomScaleNormal="70" workbookViewId="0">
      <selection activeCell="K19" sqref="K19"/>
    </sheetView>
  </sheetViews>
  <sheetFormatPr defaultRowHeight="14.4" x14ac:dyDescent="0.2"/>
  <cols>
    <col min="1" max="1" width="9.125" bestFit="1" customWidth="1"/>
    <col min="2" max="2" width="37.375" customWidth="1"/>
    <col min="3" max="3" width="13.25" style="836" customWidth="1"/>
    <col min="4" max="4" width="41.25" customWidth="1"/>
    <col min="5" max="5" width="9.125" style="848" bestFit="1" customWidth="1"/>
    <col min="6" max="6" width="10.125" style="403" bestFit="1" customWidth="1"/>
    <col min="8" max="8" width="38.25" customWidth="1"/>
    <col min="10" max="10" width="9.625" customWidth="1"/>
  </cols>
  <sheetData>
    <row r="1" spans="1:13" ht="13.8" x14ac:dyDescent="0.3">
      <c r="A1" s="107"/>
      <c r="B1" s="946" t="s">
        <v>1196</v>
      </c>
      <c r="C1" s="845"/>
      <c r="D1" s="298"/>
      <c r="E1" s="846"/>
      <c r="F1" s="847"/>
    </row>
    <row r="2" spans="1:13" x14ac:dyDescent="0.3">
      <c r="A2" s="107"/>
      <c r="B2" s="298"/>
      <c r="C2" s="845"/>
      <c r="D2" s="298"/>
      <c r="E2" s="846"/>
      <c r="F2" s="847"/>
      <c r="H2" s="156"/>
    </row>
    <row r="3" spans="1:13" x14ac:dyDescent="0.3">
      <c r="A3" s="107"/>
      <c r="B3" s="298"/>
      <c r="C3" s="845"/>
      <c r="D3" s="298"/>
      <c r="E3" s="846"/>
      <c r="F3" s="847"/>
      <c r="H3" s="156"/>
    </row>
    <row r="4" spans="1:13" ht="45.75" customHeight="1" x14ac:dyDescent="0.3">
      <c r="A4" s="947" t="s">
        <v>5</v>
      </c>
      <c r="B4" s="948" t="s">
        <v>1197</v>
      </c>
      <c r="C4" s="949"/>
      <c r="D4" s="948"/>
      <c r="E4" s="950">
        <v>300000</v>
      </c>
      <c r="F4" s="951">
        <v>300000</v>
      </c>
      <c r="H4" s="156"/>
    </row>
    <row r="5" spans="1:13" ht="68.400000000000006" x14ac:dyDescent="0.2">
      <c r="A5" s="952">
        <v>2</v>
      </c>
      <c r="B5" s="953" t="s">
        <v>1198</v>
      </c>
      <c r="C5" s="952"/>
      <c r="D5" s="954" t="s">
        <v>1199</v>
      </c>
      <c r="E5" s="955">
        <v>70000</v>
      </c>
      <c r="F5" s="956">
        <f>E5</f>
        <v>70000</v>
      </c>
    </row>
    <row r="6" spans="1:13" ht="91.2" x14ac:dyDescent="0.2">
      <c r="A6" s="940">
        <v>3</v>
      </c>
      <c r="B6" s="957" t="s">
        <v>1200</v>
      </c>
      <c r="C6" s="940"/>
      <c r="D6" s="958" t="s">
        <v>1201</v>
      </c>
      <c r="E6" s="942">
        <v>3700</v>
      </c>
      <c r="F6" s="938">
        <f>E6</f>
        <v>3700</v>
      </c>
      <c r="G6" s="933"/>
      <c r="H6" s="959" t="s">
        <v>1202</v>
      </c>
      <c r="I6" s="933" t="s">
        <v>1203</v>
      </c>
      <c r="J6" s="933"/>
    </row>
    <row r="7" spans="1:13" x14ac:dyDescent="0.3">
      <c r="A7" s="1634" t="s">
        <v>1204</v>
      </c>
      <c r="B7" s="1634"/>
      <c r="C7" s="1634"/>
      <c r="D7" s="814" t="s">
        <v>1205</v>
      </c>
      <c r="E7" s="846"/>
      <c r="F7" s="847"/>
    </row>
    <row r="8" spans="1:13" ht="55.2" x14ac:dyDescent="0.3">
      <c r="A8" s="956">
        <v>4</v>
      </c>
      <c r="B8" s="960" t="s">
        <v>1206</v>
      </c>
      <c r="C8" s="821" t="s">
        <v>1207</v>
      </c>
      <c r="D8" s="961" t="s">
        <v>1208</v>
      </c>
      <c r="E8" s="962">
        <v>30000</v>
      </c>
      <c r="F8" s="963">
        <f>E8</f>
        <v>30000</v>
      </c>
      <c r="H8" s="964" t="s">
        <v>1209</v>
      </c>
      <c r="J8" t="s">
        <v>1210</v>
      </c>
    </row>
    <row r="9" spans="1:13" ht="70.2" x14ac:dyDescent="0.3">
      <c r="A9" s="965"/>
      <c r="B9" s="822"/>
      <c r="C9" s="965"/>
      <c r="D9" s="966" t="s">
        <v>1211</v>
      </c>
      <c r="E9" s="967" t="s">
        <v>1212</v>
      </c>
      <c r="F9" s="968">
        <v>11000</v>
      </c>
      <c r="H9" s="964" t="s">
        <v>1213</v>
      </c>
      <c r="J9" s="1635" t="s">
        <v>1214</v>
      </c>
      <c r="K9" s="1636"/>
      <c r="L9" s="1636"/>
      <c r="M9" s="1636"/>
    </row>
    <row r="10" spans="1:13" ht="124.2" x14ac:dyDescent="0.3">
      <c r="A10" s="965"/>
      <c r="B10" s="822"/>
      <c r="C10" s="965"/>
      <c r="D10" s="961" t="s">
        <v>1215</v>
      </c>
      <c r="E10" s="962" t="s">
        <v>1216</v>
      </c>
      <c r="F10" s="969" t="s">
        <v>1217</v>
      </c>
      <c r="H10" s="964" t="s">
        <v>1218</v>
      </c>
      <c r="J10" s="1635" t="s">
        <v>1219</v>
      </c>
      <c r="K10" s="1636"/>
      <c r="L10" s="1636"/>
      <c r="M10" s="1636"/>
    </row>
    <row r="11" spans="1:13" ht="13.8" x14ac:dyDescent="0.3">
      <c r="A11" s="965"/>
      <c r="B11" s="821"/>
      <c r="C11" s="965"/>
      <c r="D11" s="970"/>
      <c r="E11" s="971"/>
      <c r="F11" s="963"/>
    </row>
    <row r="12" spans="1:13" x14ac:dyDescent="0.3">
      <c r="A12" s="1637" t="s">
        <v>1220</v>
      </c>
      <c r="B12" s="1637"/>
      <c r="C12" s="1637"/>
      <c r="D12" s="814" t="s">
        <v>1221</v>
      </c>
      <c r="E12" s="971"/>
      <c r="F12" s="972"/>
    </row>
    <row r="13" spans="1:13" ht="46.8" x14ac:dyDescent="0.3">
      <c r="A13" s="1638">
        <v>5</v>
      </c>
      <c r="B13" s="1640" t="s">
        <v>1222</v>
      </c>
      <c r="C13" s="965"/>
      <c r="D13" s="820" t="s">
        <v>1223</v>
      </c>
      <c r="E13" s="823">
        <v>17000</v>
      </c>
      <c r="F13" s="973">
        <f>E13</f>
        <v>17000</v>
      </c>
      <c r="H13" s="107" t="s">
        <v>1224</v>
      </c>
      <c r="J13" s="974"/>
    </row>
    <row r="14" spans="1:13" ht="24" x14ac:dyDescent="0.3">
      <c r="A14" s="1639"/>
      <c r="B14" s="1641"/>
      <c r="C14" s="965"/>
      <c r="D14" s="820" t="s">
        <v>1225</v>
      </c>
      <c r="E14" s="823">
        <v>18000</v>
      </c>
      <c r="F14" s="973">
        <f>E14</f>
        <v>18000</v>
      </c>
      <c r="H14" s="107"/>
      <c r="J14" s="974"/>
    </row>
    <row r="15" spans="1:13" ht="24" x14ac:dyDescent="0.3">
      <c r="A15" s="824">
        <v>6</v>
      </c>
      <c r="B15" s="975" t="s">
        <v>1226</v>
      </c>
      <c r="C15" s="824"/>
      <c r="D15" s="820" t="s">
        <v>1227</v>
      </c>
      <c r="E15" s="823">
        <v>30000</v>
      </c>
      <c r="F15" s="976">
        <f>E15</f>
        <v>30000</v>
      </c>
      <c r="H15" t="s">
        <v>1228</v>
      </c>
      <c r="J15" s="974"/>
    </row>
    <row r="16" spans="1:13" x14ac:dyDescent="0.2">
      <c r="A16" s="836"/>
    </row>
    <row r="17" spans="1:8" x14ac:dyDescent="0.3">
      <c r="A17" s="1632" t="s">
        <v>1229</v>
      </c>
      <c r="B17" s="1633"/>
      <c r="C17" s="1633"/>
      <c r="D17" s="977" t="s">
        <v>1221</v>
      </c>
      <c r="E17" s="978"/>
      <c r="F17" s="979"/>
    </row>
    <row r="18" spans="1:8" ht="45.6" x14ac:dyDescent="0.2">
      <c r="A18" s="965">
        <v>7</v>
      </c>
      <c r="B18" s="980" t="s">
        <v>1230</v>
      </c>
      <c r="C18" s="965"/>
      <c r="D18" s="981" t="s">
        <v>1231</v>
      </c>
      <c r="E18" s="978"/>
      <c r="F18" s="979"/>
      <c r="H18" s="107" t="s">
        <v>1232</v>
      </c>
    </row>
    <row r="19" spans="1:8" ht="45.6" x14ac:dyDescent="0.2">
      <c r="A19" s="979">
        <v>8</v>
      </c>
      <c r="B19" s="982" t="s">
        <v>1233</v>
      </c>
      <c r="C19" s="952"/>
      <c r="D19" s="983" t="s">
        <v>1234</v>
      </c>
      <c r="E19" s="828">
        <v>30000</v>
      </c>
      <c r="F19" s="984">
        <f>E19</f>
        <v>30000</v>
      </c>
      <c r="H19" s="107" t="s">
        <v>1235</v>
      </c>
    </row>
    <row r="20" spans="1:8" ht="57" x14ac:dyDescent="0.2">
      <c r="A20" s="979">
        <v>9</v>
      </c>
      <c r="B20" s="985" t="s">
        <v>1236</v>
      </c>
      <c r="C20" s="965"/>
      <c r="D20" s="820" t="s">
        <v>1237</v>
      </c>
      <c r="E20" s="823"/>
      <c r="F20" s="973"/>
      <c r="H20" s="107" t="s">
        <v>1238</v>
      </c>
    </row>
    <row r="21" spans="1:8" ht="28.8" x14ac:dyDescent="0.3">
      <c r="A21" s="979">
        <v>10</v>
      </c>
      <c r="B21" s="985" t="s">
        <v>1239</v>
      </c>
      <c r="C21" s="986"/>
      <c r="D21" s="987" t="s">
        <v>1240</v>
      </c>
      <c r="E21" s="978">
        <v>1000</v>
      </c>
      <c r="F21" s="988">
        <f>E21</f>
        <v>1000</v>
      </c>
      <c r="H21" s="107" t="s">
        <v>1241</v>
      </c>
    </row>
    <row r="22" spans="1:8" ht="129.6" x14ac:dyDescent="0.3">
      <c r="A22" s="979">
        <v>11</v>
      </c>
      <c r="B22" s="989" t="s">
        <v>1242</v>
      </c>
      <c r="C22" s="990"/>
      <c r="D22" s="991" t="s">
        <v>1243</v>
      </c>
      <c r="E22" s="955">
        <v>4000</v>
      </c>
      <c r="F22" s="984">
        <f>E22</f>
        <v>4000</v>
      </c>
      <c r="H22" s="107" t="s">
        <v>1244</v>
      </c>
    </row>
    <row r="23" spans="1:8" s="857" customFormat="1" ht="72" x14ac:dyDescent="0.3">
      <c r="A23" s="979">
        <v>12</v>
      </c>
      <c r="B23" s="991" t="s">
        <v>1245</v>
      </c>
      <c r="C23" s="992" t="s">
        <v>1246</v>
      </c>
      <c r="D23" s="991" t="s">
        <v>1247</v>
      </c>
      <c r="E23" s="955">
        <v>18000</v>
      </c>
      <c r="F23" s="984">
        <f>E23</f>
        <v>18000</v>
      </c>
    </row>
    <row r="24" spans="1:8" x14ac:dyDescent="0.2">
      <c r="A24" s="979"/>
      <c r="B24" s="820" t="s">
        <v>1248</v>
      </c>
      <c r="C24" s="965"/>
      <c r="D24" s="993" t="s">
        <v>1249</v>
      </c>
      <c r="E24" s="978">
        <v>20000</v>
      </c>
      <c r="F24" s="994"/>
      <c r="H24" s="107"/>
    </row>
    <row r="25" spans="1:8" ht="22.8" x14ac:dyDescent="0.2">
      <c r="A25" s="979"/>
      <c r="B25" s="820" t="s">
        <v>1250</v>
      </c>
      <c r="C25" s="965"/>
      <c r="D25" s="820" t="s">
        <v>1251</v>
      </c>
      <c r="E25" s="978"/>
      <c r="F25" s="979"/>
    </row>
    <row r="26" spans="1:8" ht="22.8" x14ac:dyDescent="0.2">
      <c r="A26" s="979"/>
      <c r="B26" s="820" t="s">
        <v>1252</v>
      </c>
      <c r="C26" s="965"/>
      <c r="D26" s="993" t="s">
        <v>1253</v>
      </c>
      <c r="E26" s="978"/>
      <c r="F26" s="988"/>
      <c r="H26" s="107"/>
    </row>
    <row r="27" spans="1:8" ht="28.8" x14ac:dyDescent="0.3">
      <c r="A27" s="979"/>
      <c r="B27" s="987" t="s">
        <v>1254</v>
      </c>
      <c r="C27" s="965"/>
      <c r="D27" s="993" t="s">
        <v>1255</v>
      </c>
      <c r="E27" s="978">
        <v>4660</v>
      </c>
      <c r="F27" s="973"/>
      <c r="H27" t="s">
        <v>1256</v>
      </c>
    </row>
    <row r="28" spans="1:8" x14ac:dyDescent="0.2">
      <c r="A28" s="979"/>
      <c r="B28" s="820" t="s">
        <v>1257</v>
      </c>
      <c r="C28" s="965"/>
      <c r="D28" s="993" t="s">
        <v>1258</v>
      </c>
      <c r="E28" s="978">
        <v>50000</v>
      </c>
      <c r="F28" s="979"/>
    </row>
    <row r="29" spans="1:8" ht="43.2" x14ac:dyDescent="0.3">
      <c r="A29" s="979"/>
      <c r="B29" s="987" t="s">
        <v>1259</v>
      </c>
      <c r="C29" s="995"/>
      <c r="D29" s="987" t="s">
        <v>1260</v>
      </c>
      <c r="E29" s="978"/>
      <c r="F29" s="979"/>
    </row>
    <row r="30" spans="1:8" x14ac:dyDescent="0.2">
      <c r="A30" s="836"/>
      <c r="B30" s="107"/>
    </row>
    <row r="32" spans="1:8" x14ac:dyDescent="0.2">
      <c r="A32" t="s">
        <v>1261</v>
      </c>
    </row>
  </sheetData>
  <mergeCells count="7">
    <mergeCell ref="A17:C17"/>
    <mergeCell ref="A7:C7"/>
    <mergeCell ref="J9:M9"/>
    <mergeCell ref="J10:M10"/>
    <mergeCell ref="A12:C12"/>
    <mergeCell ref="A13:A14"/>
    <mergeCell ref="B13:B14"/>
  </mergeCells>
  <conditionalFormatting sqref="B1:B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B481-DBEE-462F-B404-D10E0DE03689}">
  <sheetPr>
    <tabColor rgb="FF8E267F"/>
    <pageSetUpPr fitToPage="1"/>
  </sheetPr>
  <dimension ref="A1:V272"/>
  <sheetViews>
    <sheetView topLeftCell="H75" zoomScale="120" zoomScaleNormal="120" workbookViewId="0">
      <selection activeCell="O24" sqref="O24:O33"/>
    </sheetView>
  </sheetViews>
  <sheetFormatPr defaultRowHeight="11.4" outlineLevelRow="1" x14ac:dyDescent="0.2"/>
  <cols>
    <col min="1" max="1" width="3.375" customWidth="1"/>
    <col min="2" max="2" width="8.375" customWidth="1"/>
    <col min="3" max="3" width="6.625" customWidth="1"/>
    <col min="4" max="4" width="4.75" customWidth="1"/>
    <col min="5" max="5" width="7.75" customWidth="1"/>
    <col min="6" max="6" width="13.25" customWidth="1"/>
    <col min="7" max="7" width="75.125" customWidth="1"/>
    <col min="8" max="8" width="16.625" customWidth="1"/>
    <col min="9" max="9" width="2.25" customWidth="1"/>
    <col min="10" max="12" width="16.625" customWidth="1"/>
    <col min="13" max="13" width="20.875" customWidth="1"/>
    <col min="14" max="14" width="16" customWidth="1"/>
    <col min="15" max="15" width="15.375" customWidth="1"/>
    <col min="16" max="16" width="21.375" customWidth="1"/>
    <col min="17" max="17" width="13.375" customWidth="1"/>
    <col min="18" max="18" width="11" customWidth="1"/>
  </cols>
  <sheetData>
    <row r="1" spans="3:7" ht="12" hidden="1" outlineLevel="1" thickBot="1" x14ac:dyDescent="0.25"/>
    <row r="2" spans="3:7" hidden="1" outlineLevel="1" x14ac:dyDescent="0.2">
      <c r="C2" s="1519" t="s">
        <v>1413</v>
      </c>
      <c r="D2" s="1091" t="s">
        <v>354</v>
      </c>
      <c r="E2" s="1095">
        <f>PIVOT_2023!N54</f>
        <v>157900</v>
      </c>
    </row>
    <row r="3" spans="3:7" hidden="1" outlineLevel="1" x14ac:dyDescent="0.2">
      <c r="C3" s="1520"/>
      <c r="D3" t="s">
        <v>1412</v>
      </c>
      <c r="E3" s="1096">
        <f>PIVOT_2023!N52</f>
        <v>183790</v>
      </c>
    </row>
    <row r="4" spans="3:7" hidden="1" outlineLevel="1" x14ac:dyDescent="0.2">
      <c r="C4" s="1520"/>
      <c r="D4" t="s">
        <v>555</v>
      </c>
      <c r="E4" s="1093">
        <f>PIVOT_2023!N53</f>
        <v>1765162.04</v>
      </c>
      <c r="F4" s="111"/>
    </row>
    <row r="5" spans="3:7" ht="12" hidden="1" outlineLevel="1" thickBot="1" x14ac:dyDescent="0.25">
      <c r="C5" s="1521"/>
      <c r="D5" s="1094" t="s">
        <v>192</v>
      </c>
      <c r="E5" s="1097">
        <f>PIVOT_2023!N57</f>
        <v>3751835.3929128568</v>
      </c>
      <c r="F5" s="111"/>
    </row>
    <row r="6" spans="3:7" ht="12" hidden="1" outlineLevel="1" x14ac:dyDescent="0.25">
      <c r="E6" s="1088">
        <f>SUM(E2:E5)</f>
        <v>5858687.4329128563</v>
      </c>
      <c r="F6" s="111"/>
    </row>
    <row r="7" spans="3:7" ht="12" hidden="1" outlineLevel="1" thickBot="1" x14ac:dyDescent="0.25"/>
    <row r="8" spans="3:7" hidden="1" outlineLevel="1" x14ac:dyDescent="0.2">
      <c r="C8" s="1519" t="s">
        <v>1414</v>
      </c>
      <c r="D8" s="1091" t="s">
        <v>354</v>
      </c>
      <c r="E8" s="1092">
        <f>PIVOT_2023!H54</f>
        <v>333690</v>
      </c>
      <c r="F8" s="1099">
        <f>E8-E2-E3</f>
        <v>-8000</v>
      </c>
    </row>
    <row r="9" spans="3:7" hidden="1" outlineLevel="1" x14ac:dyDescent="0.2">
      <c r="C9" s="1520"/>
      <c r="D9" t="s">
        <v>555</v>
      </c>
      <c r="E9" s="1093" t="e">
        <f>PIVOT_2023!H55</f>
        <v>#REF!</v>
      </c>
      <c r="F9" s="1099" t="e">
        <f>E9-E4</f>
        <v>#REF!</v>
      </c>
      <c r="G9" t="s">
        <v>1435</v>
      </c>
    </row>
    <row r="10" spans="3:7" ht="12" hidden="1" outlineLevel="1" thickBot="1" x14ac:dyDescent="0.25">
      <c r="C10" s="1521"/>
      <c r="D10" s="1094" t="s">
        <v>192</v>
      </c>
      <c r="E10" s="1097" t="e">
        <f>PIVOT_2023!H56</f>
        <v>#REF!</v>
      </c>
      <c r="F10" s="1099" t="e">
        <f>E10-E5</f>
        <v>#REF!</v>
      </c>
      <c r="G10" t="s">
        <v>1366</v>
      </c>
    </row>
    <row r="11" spans="3:7" ht="12" hidden="1" outlineLevel="1" x14ac:dyDescent="0.25">
      <c r="E11" s="542" t="e">
        <f>SUM(E8:E10)</f>
        <v>#REF!</v>
      </c>
    </row>
    <row r="12" spans="3:7" hidden="1" outlineLevel="1" x14ac:dyDescent="0.2">
      <c r="E12" s="108"/>
      <c r="F12" s="110"/>
    </row>
    <row r="13" spans="3:7" ht="12" hidden="1" outlineLevel="1" thickBot="1" x14ac:dyDescent="0.25">
      <c r="E13" s="108"/>
      <c r="F13" s="1089" t="s">
        <v>1416</v>
      </c>
    </row>
    <row r="14" spans="3:7" hidden="1" outlineLevel="1" x14ac:dyDescent="0.2">
      <c r="C14" s="1519" t="s">
        <v>1415</v>
      </c>
      <c r="D14" s="1091" t="s">
        <v>230</v>
      </c>
      <c r="E14" s="1092">
        <f>H78</f>
        <v>4711251.2122</v>
      </c>
      <c r="F14" s="1353">
        <f>SUM(H61,H64,H60)</f>
        <v>1020963.39</v>
      </c>
    </row>
    <row r="15" spans="3:7" ht="12" hidden="1" outlineLevel="1" thickBot="1" x14ac:dyDescent="0.25">
      <c r="C15" s="1521"/>
      <c r="D15" s="1094" t="s">
        <v>555</v>
      </c>
      <c r="E15" s="1097">
        <f>H251</f>
        <v>1915252.15</v>
      </c>
      <c r="F15" s="111"/>
    </row>
    <row r="16" spans="3:7" ht="12" hidden="1" outlineLevel="1" x14ac:dyDescent="0.25">
      <c r="E16" s="1087">
        <f>SUM(E14:E15)</f>
        <v>6626503.3621999994</v>
      </c>
      <c r="F16" s="111"/>
    </row>
    <row r="17" spans="4:20" hidden="1" outlineLevel="1" x14ac:dyDescent="0.2">
      <c r="D17" t="s">
        <v>1411</v>
      </c>
      <c r="E17" s="1098">
        <f>E16-E6-F14</f>
        <v>-253147.46071285696</v>
      </c>
      <c r="F17" s="109"/>
      <c r="G17" s="111"/>
    </row>
    <row r="18" spans="4:20" hidden="1" outlineLevel="1" x14ac:dyDescent="0.2"/>
    <row r="19" spans="4:20" ht="34.200000000000003" hidden="1" outlineLevel="1" x14ac:dyDescent="0.2">
      <c r="D19" s="107" t="s">
        <v>354</v>
      </c>
      <c r="E19" s="111">
        <f>SUM(H126:H126,H130:H131,H134:H138,H140:H150,H190:H190,H152:H160)</f>
        <v>320980</v>
      </c>
      <c r="F19" s="1090" t="b">
        <f>E19=E2+E3</f>
        <v>0</v>
      </c>
    </row>
    <row r="20" spans="4:20" hidden="1" outlineLevel="1" x14ac:dyDescent="0.2"/>
    <row r="21" spans="4:20" ht="12" hidden="1" customHeight="1" outlineLevel="1" x14ac:dyDescent="0.2">
      <c r="L21" s="1060"/>
    </row>
    <row r="22" spans="4:20" ht="12" collapsed="1" x14ac:dyDescent="0.2">
      <c r="L22" s="1060"/>
      <c r="N22" s="1113"/>
      <c r="O22" s="1370"/>
      <c r="P22" s="223"/>
    </row>
    <row r="23" spans="4:20" ht="12.6" thickBot="1" x14ac:dyDescent="0.3">
      <c r="F23" s="1373">
        <v>299305.5</v>
      </c>
      <c r="G23" s="1374" t="s">
        <v>1607</v>
      </c>
      <c r="K23" s="1076"/>
      <c r="L23" s="1060">
        <v>2023</v>
      </c>
      <c r="N23" s="1113"/>
      <c r="O23" s="223"/>
      <c r="P23" s="1370"/>
      <c r="Q23" s="224"/>
      <c r="R23" s="111"/>
    </row>
    <row r="24" spans="4:20" ht="12" x14ac:dyDescent="0.25">
      <c r="F24" s="1375">
        <v>164411</v>
      </c>
      <c r="G24" s="1376" t="s">
        <v>1601</v>
      </c>
      <c r="K24" s="1077" t="s">
        <v>671</v>
      </c>
      <c r="L24" s="445">
        <f>PIVOT_2023!H43</f>
        <v>36539231</v>
      </c>
      <c r="M24" s="1379" t="s">
        <v>1632</v>
      </c>
      <c r="N24" s="1405">
        <f>PIVOT_2023!J43</f>
        <v>5.127042115631017E-2</v>
      </c>
      <c r="O24" s="1380">
        <v>1782017</v>
      </c>
      <c r="P24" s="1380" t="s">
        <v>1599</v>
      </c>
      <c r="Q24" s="1381"/>
      <c r="R24" s="1382"/>
      <c r="S24" s="1383"/>
      <c r="T24" s="1384"/>
    </row>
    <row r="25" spans="4:20" ht="12" x14ac:dyDescent="0.25">
      <c r="F25" s="1375">
        <v>223687.39</v>
      </c>
      <c r="G25" s="1376" t="s">
        <v>1602</v>
      </c>
      <c r="J25" s="1059"/>
      <c r="K25" s="1078" t="s">
        <v>672</v>
      </c>
      <c r="L25" s="1051">
        <f>PIVOT_2023!H332</f>
        <v>36114732.254373029</v>
      </c>
      <c r="M25" s="1385" t="s">
        <v>1632</v>
      </c>
      <c r="N25" s="1406">
        <f>PIVOT_2023!J332</f>
        <v>0.19191220092453867</v>
      </c>
      <c r="O25" s="1387">
        <v>5814906.2887023464</v>
      </c>
      <c r="P25" s="1388"/>
      <c r="Q25" s="224"/>
      <c r="R25" s="111"/>
      <c r="T25" s="1389"/>
    </row>
    <row r="26" spans="4:20" ht="12" x14ac:dyDescent="0.25">
      <c r="F26" s="1377">
        <f>F23-F24-F25</f>
        <v>-88792.890000000014</v>
      </c>
      <c r="G26" s="1374" t="s">
        <v>1603</v>
      </c>
      <c r="J26" s="1052"/>
      <c r="K26" s="1079"/>
      <c r="L26" s="1053">
        <f>L24-L25</f>
        <v>424498.74562697113</v>
      </c>
      <c r="M26" s="1385"/>
      <c r="N26" s="1386"/>
      <c r="O26" s="1397">
        <v>1850281.7976517957</v>
      </c>
      <c r="P26" s="1398" t="s">
        <v>1600</v>
      </c>
      <c r="Q26" s="224"/>
      <c r="R26" s="111"/>
      <c r="T26" s="1389"/>
    </row>
    <row r="27" spans="4:20" ht="12" customHeight="1" x14ac:dyDescent="0.25">
      <c r="F27" s="1375">
        <v>28696.5</v>
      </c>
      <c r="G27" s="1378" t="s">
        <v>1604</v>
      </c>
      <c r="K27" s="1080"/>
      <c r="M27" s="1385"/>
      <c r="N27" s="1386"/>
      <c r="O27" s="1397">
        <v>230579.24019999988</v>
      </c>
      <c r="P27" s="1399" t="s">
        <v>325</v>
      </c>
      <c r="Q27" s="224"/>
      <c r="R27" s="111"/>
      <c r="T27" s="1389"/>
    </row>
    <row r="28" spans="4:20" ht="12" customHeight="1" x14ac:dyDescent="0.25">
      <c r="K28" s="1080"/>
      <c r="M28" s="1385"/>
      <c r="N28" s="1386"/>
      <c r="O28" s="1397">
        <v>77348</v>
      </c>
      <c r="P28" s="1399" t="s">
        <v>1605</v>
      </c>
      <c r="Q28" s="224"/>
      <c r="R28" s="111"/>
      <c r="T28" s="1389"/>
    </row>
    <row r="29" spans="4:20" ht="12" x14ac:dyDescent="0.25">
      <c r="J29" s="1059"/>
      <c r="K29" s="1078" t="s">
        <v>104</v>
      </c>
      <c r="L29" s="1051">
        <f>'4.piel_Saistibas'!X180-K53</f>
        <v>3489717.8079218101</v>
      </c>
      <c r="M29" s="1385" t="s">
        <v>1634</v>
      </c>
      <c r="N29" s="1386"/>
      <c r="O29" s="1397">
        <v>35135.5</v>
      </c>
      <c r="P29" s="1399" t="s">
        <v>159</v>
      </c>
      <c r="Q29" s="224"/>
      <c r="R29" s="111"/>
      <c r="T29" s="1389"/>
    </row>
    <row r="30" spans="4:20" ht="12" x14ac:dyDescent="0.25">
      <c r="H30" s="224"/>
      <c r="I30" s="224"/>
      <c r="J30" s="1054"/>
      <c r="K30" s="1081"/>
      <c r="L30" s="1055">
        <f>L26-L29</f>
        <v>-3065219.062294839</v>
      </c>
      <c r="M30" s="1385"/>
      <c r="N30" s="1386"/>
      <c r="O30" s="1397">
        <v>371132.39999999991</v>
      </c>
      <c r="P30" s="1399" t="s">
        <v>160</v>
      </c>
      <c r="Q30" s="224"/>
      <c r="R30" s="111"/>
      <c r="T30" s="1389"/>
    </row>
    <row r="31" spans="4:20" ht="12" x14ac:dyDescent="0.25">
      <c r="K31" s="1080"/>
      <c r="M31" s="1385"/>
      <c r="N31" s="1386"/>
      <c r="O31" s="1400">
        <v>887970.25649391266</v>
      </c>
      <c r="P31" s="1399" t="s">
        <v>662</v>
      </c>
      <c r="R31" s="111"/>
      <c r="T31" s="1389"/>
    </row>
    <row r="32" spans="4:20" ht="12" x14ac:dyDescent="0.25">
      <c r="F32" s="106" t="s">
        <v>1660</v>
      </c>
      <c r="K32" s="1080"/>
      <c r="M32" s="1385"/>
      <c r="N32" s="1386"/>
      <c r="O32" s="1400">
        <v>2479033</v>
      </c>
      <c r="P32" s="1399" t="s">
        <v>668</v>
      </c>
      <c r="R32" s="111"/>
      <c r="T32" s="1389"/>
    </row>
    <row r="33" spans="2:20" ht="12.6" thickBot="1" x14ac:dyDescent="0.3">
      <c r="E33" s="1076"/>
      <c r="F33" s="1502" t="e">
        <f>#REF!+#REF!</f>
        <v>#REF!</v>
      </c>
      <c r="G33" s="1503" t="s">
        <v>1040</v>
      </c>
      <c r="J33" s="1059"/>
      <c r="K33" s="1078" t="s">
        <v>1630</v>
      </c>
      <c r="L33" s="1359">
        <f>N37+N36+N38</f>
        <v>6290556.7800000003</v>
      </c>
      <c r="M33" s="1390"/>
      <c r="N33" s="1391"/>
      <c r="O33" s="1401">
        <v>-1450246</v>
      </c>
      <c r="P33" s="1402" t="s">
        <v>80</v>
      </c>
      <c r="Q33" s="856"/>
      <c r="R33" s="1392"/>
      <c r="S33" s="856"/>
      <c r="T33" s="1393"/>
    </row>
    <row r="34" spans="2:20" ht="12" x14ac:dyDescent="0.25">
      <c r="E34" s="1076"/>
      <c r="F34" s="1501">
        <v>50000</v>
      </c>
      <c r="G34" s="1498" t="s">
        <v>1661</v>
      </c>
      <c r="J34" s="1056"/>
      <c r="K34" s="1360" t="s">
        <v>1419</v>
      </c>
      <c r="L34" s="1057">
        <f>L30+L33</f>
        <v>3225337.7177051613</v>
      </c>
      <c r="M34" s="109"/>
      <c r="N34" s="411">
        <v>7321274.6200000001</v>
      </c>
      <c r="O34" t="s">
        <v>1565</v>
      </c>
      <c r="Q34" s="224"/>
      <c r="R34" s="111"/>
    </row>
    <row r="35" spans="2:20" ht="12" customHeight="1" x14ac:dyDescent="0.25">
      <c r="E35" s="1500" t="s">
        <v>697</v>
      </c>
      <c r="F35" s="1501">
        <v>27387</v>
      </c>
      <c r="G35" s="1499" t="s">
        <v>318</v>
      </c>
      <c r="K35" s="1080"/>
      <c r="N35" s="411">
        <v>1254148.94</v>
      </c>
      <c r="O35" t="s">
        <v>1564</v>
      </c>
      <c r="P35" s="1127"/>
      <c r="Q35" s="224"/>
      <c r="R35" s="111"/>
    </row>
    <row r="36" spans="2:20" ht="22.8" x14ac:dyDescent="0.2">
      <c r="E36" s="1076"/>
      <c r="F36" s="1501">
        <f>150000*1.21</f>
        <v>181500</v>
      </c>
      <c r="G36" s="1499" t="s">
        <v>1662</v>
      </c>
      <c r="K36" s="1100" t="s">
        <v>1418</v>
      </c>
      <c r="L36" s="111">
        <f>J78</f>
        <v>719695.47</v>
      </c>
      <c r="N36" s="411">
        <f>72387-72387</f>
        <v>0</v>
      </c>
      <c r="O36" t="s">
        <v>1562</v>
      </c>
      <c r="P36" s="1127"/>
      <c r="Q36" s="224"/>
      <c r="R36" s="111"/>
    </row>
    <row r="37" spans="2:20" ht="12" x14ac:dyDescent="0.25">
      <c r="E37" s="1076"/>
      <c r="F37" s="1501" t="e">
        <f>F33+F34-F35-F36</f>
        <v>#REF!</v>
      </c>
      <c r="G37" s="1498" t="s">
        <v>1663</v>
      </c>
      <c r="K37" s="1100" t="s">
        <v>1553</v>
      </c>
      <c r="L37" s="111">
        <f>J179</f>
        <v>2224131.1</v>
      </c>
      <c r="N37" s="1358">
        <f>N34-N35</f>
        <v>6067125.6799999997</v>
      </c>
      <c r="O37" s="1357" t="s">
        <v>1566</v>
      </c>
      <c r="P37" s="1372" t="s">
        <v>1598</v>
      </c>
      <c r="R37" s="111"/>
    </row>
    <row r="38" spans="2:20" ht="12" x14ac:dyDescent="0.25">
      <c r="F38" s="1502" t="e">
        <f>F33+F34-F35-F36-F37</f>
        <v>#REF!</v>
      </c>
      <c r="G38" s="1503" t="s">
        <v>1664</v>
      </c>
      <c r="J38" s="1058"/>
      <c r="K38" s="1082" t="s">
        <v>1362</v>
      </c>
      <c r="L38" s="1057">
        <f>L34-L36-L37</f>
        <v>281511.14770516148</v>
      </c>
      <c r="N38" s="1358">
        <v>223431.10000000027</v>
      </c>
      <c r="O38" s="1357" t="s">
        <v>1581</v>
      </c>
      <c r="P38" s="1127"/>
      <c r="Q38" s="224"/>
      <c r="R38" s="111"/>
    </row>
    <row r="39" spans="2:20" x14ac:dyDescent="0.2">
      <c r="M39" s="109"/>
      <c r="P39" s="1127"/>
      <c r="R39" s="111"/>
    </row>
    <row r="40" spans="2:20" x14ac:dyDescent="0.2">
      <c r="F40" s="111"/>
      <c r="K40" s="1100" t="s">
        <v>1554</v>
      </c>
      <c r="L40" s="111">
        <f>J251</f>
        <v>1914252.15</v>
      </c>
      <c r="M40" s="109"/>
      <c r="P40" s="108"/>
      <c r="R40" s="111"/>
    </row>
    <row r="41" spans="2:20" ht="12" x14ac:dyDescent="0.25">
      <c r="J41" s="1361"/>
      <c r="K41" s="1362" t="s">
        <v>1551</v>
      </c>
      <c r="L41" s="1363">
        <f>L38-L40</f>
        <v>-1632741.0022948384</v>
      </c>
      <c r="P41" s="108"/>
      <c r="Q41" s="224"/>
      <c r="R41" s="111"/>
    </row>
    <row r="42" spans="2:20" x14ac:dyDescent="0.2">
      <c r="L42" s="1395"/>
    </row>
    <row r="43" spans="2:20" ht="12" x14ac:dyDescent="0.25">
      <c r="B43" s="106" t="s">
        <v>1625</v>
      </c>
      <c r="L43" s="1395"/>
    </row>
    <row r="44" spans="2:20" ht="12" x14ac:dyDescent="0.25">
      <c r="B44" s="1510" t="s">
        <v>389</v>
      </c>
      <c r="C44" s="1510" t="s">
        <v>290</v>
      </c>
      <c r="D44" s="1510" t="s">
        <v>291</v>
      </c>
      <c r="E44" s="1510" t="s">
        <v>1408</v>
      </c>
      <c r="F44" s="1516" t="s">
        <v>1363</v>
      </c>
      <c r="G44" s="1510" t="s">
        <v>1568</v>
      </c>
      <c r="H44" s="1510" t="s">
        <v>650</v>
      </c>
      <c r="I44" s="1083"/>
      <c r="J44" s="1516" t="s">
        <v>1373</v>
      </c>
      <c r="K44" s="1516"/>
      <c r="L44" s="1516"/>
    </row>
    <row r="45" spans="2:20" s="107" customFormat="1" ht="24" x14ac:dyDescent="0.25">
      <c r="B45" s="1510"/>
      <c r="C45" s="1510"/>
      <c r="D45" s="1510"/>
      <c r="E45" s="1510"/>
      <c r="F45" s="1516"/>
      <c r="G45" s="1510"/>
      <c r="H45" s="1510"/>
      <c r="I45" s="1083"/>
      <c r="J45" s="1075" t="s">
        <v>185</v>
      </c>
      <c r="K45" s="1356" t="s">
        <v>649</v>
      </c>
      <c r="L45" s="1075" t="s">
        <v>390</v>
      </c>
      <c r="M45"/>
      <c r="N45"/>
      <c r="O45"/>
      <c r="P45"/>
      <c r="Q45"/>
      <c r="R45"/>
      <c r="S45"/>
      <c r="T45"/>
    </row>
    <row r="46" spans="2:20" s="107" customFormat="1" ht="22.8" x14ac:dyDescent="0.2">
      <c r="B46" s="1061">
        <v>1</v>
      </c>
      <c r="C46" s="1104"/>
      <c r="D46" s="1104"/>
      <c r="E46" s="1496" t="s">
        <v>170</v>
      </c>
      <c r="F46" s="1061" t="s">
        <v>1365</v>
      </c>
      <c r="G46" s="1085" t="s">
        <v>1383</v>
      </c>
      <c r="H46" s="1105">
        <f>SUM(J46:L46)</f>
        <v>11000</v>
      </c>
      <c r="I46" s="1476"/>
      <c r="J46" s="1477">
        <f>11000-K46</f>
        <v>379</v>
      </c>
      <c r="K46" s="1105">
        <v>10621</v>
      </c>
      <c r="L46" s="1478"/>
      <c r="P46" s="1118" t="s">
        <v>323</v>
      </c>
      <c r="Q46" s="1118"/>
      <c r="R46" s="111"/>
    </row>
    <row r="47" spans="2:20" ht="13.2" x14ac:dyDescent="0.25">
      <c r="B47" s="1061">
        <v>2</v>
      </c>
      <c r="C47" s="1084" t="s">
        <v>673</v>
      </c>
      <c r="D47" s="1064"/>
      <c r="E47" s="1065" t="s">
        <v>1628</v>
      </c>
      <c r="F47" s="1061" t="s">
        <v>1365</v>
      </c>
      <c r="G47" s="1062" t="s">
        <v>1142</v>
      </c>
      <c r="H47" s="1105">
        <f t="shared" ref="H47:H49" si="0">SUM(J47:L47)</f>
        <v>32020</v>
      </c>
      <c r="I47" s="1145"/>
      <c r="J47" s="1105"/>
      <c r="K47" s="1105">
        <f>74020-42000</f>
        <v>32020</v>
      </c>
      <c r="L47" s="1105"/>
      <c r="M47" s="107"/>
      <c r="N47" s="107"/>
      <c r="O47" s="107"/>
      <c r="P47" s="107"/>
      <c r="Q47" s="107"/>
      <c r="R47" s="107"/>
      <c r="S47" s="107"/>
      <c r="T47" s="107"/>
    </row>
    <row r="48" spans="2:20" x14ac:dyDescent="0.2">
      <c r="B48" s="1061">
        <v>3</v>
      </c>
      <c r="C48" s="1064"/>
      <c r="D48" s="1064"/>
      <c r="E48" s="1065" t="s">
        <v>1555</v>
      </c>
      <c r="F48" s="1061" t="s">
        <v>1365</v>
      </c>
      <c r="G48" s="1062" t="s">
        <v>1550</v>
      </c>
      <c r="H48" s="1129">
        <f t="shared" si="0"/>
        <v>42000</v>
      </c>
      <c r="I48" s="1145"/>
      <c r="J48" s="1105"/>
      <c r="K48" s="1105">
        <v>42000</v>
      </c>
      <c r="L48" s="1105"/>
      <c r="M48" t="s">
        <v>1381</v>
      </c>
    </row>
    <row r="49" spans="2:22" x14ac:dyDescent="0.2">
      <c r="B49" s="1061">
        <v>4</v>
      </c>
      <c r="C49" s="1064"/>
      <c r="D49" s="1064"/>
      <c r="E49" s="1065" t="s">
        <v>735</v>
      </c>
      <c r="F49" s="1061" t="s">
        <v>1365</v>
      </c>
      <c r="G49" s="1062" t="s">
        <v>404</v>
      </c>
      <c r="H49" s="1105">
        <f t="shared" si="0"/>
        <v>4136</v>
      </c>
      <c r="I49" s="1145"/>
      <c r="J49" s="1105">
        <v>16</v>
      </c>
      <c r="K49" s="1105">
        <v>4120</v>
      </c>
      <c r="L49" s="1105"/>
      <c r="V49" t="s">
        <v>323</v>
      </c>
    </row>
    <row r="50" spans="2:22" s="110" customFormat="1" x14ac:dyDescent="0.2">
      <c r="B50" s="1061">
        <v>6</v>
      </c>
      <c r="C50" s="1144"/>
      <c r="D50" s="1144"/>
      <c r="E50" s="1107" t="s">
        <v>1368</v>
      </c>
      <c r="F50" s="1143" t="s">
        <v>1365</v>
      </c>
      <c r="G50" s="1117" t="s">
        <v>1369</v>
      </c>
      <c r="H50" s="1105">
        <f t="shared" ref="H50:H60" si="1">SUM(J50:L50)</f>
        <v>85290</v>
      </c>
      <c r="I50" s="1145"/>
      <c r="J50" s="1105">
        <v>25368</v>
      </c>
      <c r="K50" s="1105"/>
      <c r="L50" s="1105">
        <v>59922</v>
      </c>
      <c r="M50" t="s">
        <v>1381</v>
      </c>
      <c r="N50"/>
      <c r="O50"/>
      <c r="P50"/>
      <c r="Q50"/>
      <c r="R50"/>
      <c r="S50"/>
      <c r="T50"/>
    </row>
    <row r="51" spans="2:22" x14ac:dyDescent="0.2">
      <c r="B51" s="1061">
        <v>7</v>
      </c>
      <c r="C51" s="1064"/>
      <c r="D51" s="1064"/>
      <c r="E51" s="1107" t="s">
        <v>699</v>
      </c>
      <c r="F51" s="1143" t="s">
        <v>1365</v>
      </c>
      <c r="G51" s="1117" t="s">
        <v>1370</v>
      </c>
      <c r="H51" s="1105">
        <f t="shared" si="1"/>
        <v>236171</v>
      </c>
      <c r="I51" s="1145"/>
      <c r="J51" s="1105">
        <v>29082</v>
      </c>
      <c r="K51" s="1105"/>
      <c r="L51" s="1105">
        <v>207089</v>
      </c>
      <c r="M51" s="110" t="s">
        <v>1452</v>
      </c>
      <c r="N51" s="110"/>
      <c r="O51" s="110"/>
      <c r="P51" s="110"/>
      <c r="Q51" s="110"/>
      <c r="R51" s="110"/>
      <c r="S51" s="110"/>
      <c r="T51" s="110"/>
    </row>
    <row r="52" spans="2:22" s="110" customFormat="1" ht="22.8" x14ac:dyDescent="0.2">
      <c r="B52" s="1061">
        <v>8</v>
      </c>
      <c r="C52" s="1144"/>
      <c r="D52" s="1144"/>
      <c r="E52" s="1107" t="s">
        <v>700</v>
      </c>
      <c r="F52" s="1143" t="s">
        <v>1365</v>
      </c>
      <c r="G52" s="1117" t="s">
        <v>1371</v>
      </c>
      <c r="H52" s="1105">
        <f>SUM(J52:L52)</f>
        <v>391245.35220000002</v>
      </c>
      <c r="I52" s="1145"/>
      <c r="J52" s="1129"/>
      <c r="K52" s="1129">
        <f>71104</f>
        <v>71104</v>
      </c>
      <c r="L52" s="1129">
        <f>319699.3522+442</f>
        <v>320141.35220000002</v>
      </c>
      <c r="M52" s="110" t="s">
        <v>1452</v>
      </c>
      <c r="N52"/>
      <c r="O52"/>
      <c r="P52"/>
      <c r="Q52"/>
      <c r="R52"/>
      <c r="S52"/>
      <c r="T52"/>
    </row>
    <row r="53" spans="2:22" s="110" customFormat="1" ht="22.8" x14ac:dyDescent="0.2">
      <c r="B53" s="1061">
        <v>5</v>
      </c>
      <c r="C53" s="1144" t="s">
        <v>676</v>
      </c>
      <c r="D53" s="1144"/>
      <c r="E53" s="1107" t="s">
        <v>698</v>
      </c>
      <c r="F53" s="1143" t="s">
        <v>1365</v>
      </c>
      <c r="G53" s="1117" t="s">
        <v>405</v>
      </c>
      <c r="H53" s="1105">
        <f t="shared" ref="H53" si="2">SUM(J53:L53)</f>
        <v>112172.33</v>
      </c>
      <c r="I53" s="1145"/>
      <c r="J53" s="1105"/>
      <c r="K53" s="1105">
        <v>112172.33</v>
      </c>
      <c r="L53" s="1105"/>
      <c r="M53" s="110" t="s">
        <v>1633</v>
      </c>
    </row>
    <row r="54" spans="2:22" x14ac:dyDescent="0.2">
      <c r="B54" s="1061">
        <v>9</v>
      </c>
      <c r="C54" s="1064"/>
      <c r="D54" s="1064"/>
      <c r="E54" s="1065" t="s">
        <v>705</v>
      </c>
      <c r="F54" s="1061" t="s">
        <v>383</v>
      </c>
      <c r="G54" s="1061" t="s">
        <v>1448</v>
      </c>
      <c r="H54" s="1105">
        <f>SUM(J54:L54)</f>
        <v>40898</v>
      </c>
      <c r="I54" s="1145"/>
      <c r="J54" s="1105"/>
      <c r="K54" s="1105">
        <v>40898</v>
      </c>
      <c r="L54" s="1105"/>
      <c r="M54" s="110"/>
      <c r="N54" s="464"/>
      <c r="O54" s="1352"/>
      <c r="P54" s="110"/>
      <c r="Q54" s="110"/>
      <c r="R54" s="110"/>
      <c r="S54" s="110"/>
      <c r="T54" s="110"/>
    </row>
    <row r="55" spans="2:22" s="110" customFormat="1" x14ac:dyDescent="0.2">
      <c r="B55" s="1143">
        <v>10</v>
      </c>
      <c r="C55" s="1144"/>
      <c r="D55" s="1144"/>
      <c r="E55" s="1107" t="s">
        <v>706</v>
      </c>
      <c r="F55" s="1143" t="s">
        <v>1365</v>
      </c>
      <c r="G55" s="1117" t="s">
        <v>1372</v>
      </c>
      <c r="H55" s="1105">
        <f>SUM(J55:L55)</f>
        <v>891139</v>
      </c>
      <c r="I55" s="1145"/>
      <c r="J55" s="1394">
        <v>66163.510000000009</v>
      </c>
      <c r="K55" s="1375">
        <f>90432+89627+20212</f>
        <v>200271</v>
      </c>
      <c r="L55" s="1394">
        <f>335421.77+289282.72</f>
        <v>624704.49</v>
      </c>
      <c r="M55" s="110" t="s">
        <v>1567</v>
      </c>
      <c r="N55"/>
      <c r="O55"/>
      <c r="P55"/>
      <c r="Q55"/>
      <c r="R55"/>
      <c r="S55"/>
      <c r="T55"/>
    </row>
    <row r="56" spans="2:22" x14ac:dyDescent="0.2">
      <c r="B56" s="1061"/>
      <c r="C56" s="1064"/>
      <c r="D56" s="1064"/>
      <c r="E56" s="1497" t="s">
        <v>1629</v>
      </c>
      <c r="F56" s="1061" t="s">
        <v>1360</v>
      </c>
      <c r="G56" s="1061" t="s">
        <v>1572</v>
      </c>
      <c r="H56" s="1105">
        <f>SUM(J56:L56)</f>
        <v>355701</v>
      </c>
      <c r="I56" s="1145"/>
      <c r="J56" s="1105">
        <f>129428+72387+153886-K56</f>
        <v>283314</v>
      </c>
      <c r="K56" s="1105">
        <v>72387</v>
      </c>
      <c r="L56" s="1105"/>
      <c r="M56" s="109" t="s">
        <v>1563</v>
      </c>
      <c r="N56" s="464"/>
      <c r="O56" s="464"/>
      <c r="P56" s="110"/>
      <c r="Q56" s="110"/>
      <c r="R56" s="110"/>
      <c r="S56" s="110"/>
      <c r="T56" s="110"/>
    </row>
    <row r="57" spans="2:22" ht="22.8" x14ac:dyDescent="0.2">
      <c r="B57" s="1061">
        <v>11</v>
      </c>
      <c r="C57" s="1064" t="s">
        <v>674</v>
      </c>
      <c r="D57" s="1064">
        <v>288</v>
      </c>
      <c r="E57" s="1065" t="s">
        <v>702</v>
      </c>
      <c r="F57" s="1061" t="s">
        <v>1365</v>
      </c>
      <c r="G57" s="1062" t="s">
        <v>1374</v>
      </c>
      <c r="H57" s="1105">
        <f t="shared" si="1"/>
        <v>23597</v>
      </c>
      <c r="I57" s="1145"/>
      <c r="J57" s="1105"/>
      <c r="K57" s="1105">
        <v>23597</v>
      </c>
      <c r="L57" s="1105"/>
    </row>
    <row r="58" spans="2:22" ht="22.8" x14ac:dyDescent="0.2">
      <c r="B58" s="1061">
        <v>12</v>
      </c>
      <c r="C58" s="1064" t="s">
        <v>675</v>
      </c>
      <c r="D58" s="1064">
        <v>288</v>
      </c>
      <c r="E58" s="1065" t="s">
        <v>1375</v>
      </c>
      <c r="F58" s="1061" t="s">
        <v>1365</v>
      </c>
      <c r="G58" s="1062" t="s">
        <v>1376</v>
      </c>
      <c r="H58" s="1105">
        <f t="shared" si="1"/>
        <v>18440</v>
      </c>
      <c r="I58" s="1145"/>
      <c r="J58" s="1105"/>
      <c r="K58" s="1105">
        <v>18440</v>
      </c>
      <c r="L58" s="1105"/>
    </row>
    <row r="59" spans="2:22" x14ac:dyDescent="0.2">
      <c r="B59" s="1061">
        <v>13</v>
      </c>
      <c r="C59" s="1064" t="s">
        <v>677</v>
      </c>
      <c r="D59" s="1064"/>
      <c r="E59" s="1065" t="s">
        <v>1377</v>
      </c>
      <c r="F59" s="1061" t="s">
        <v>1365</v>
      </c>
      <c r="G59" s="1062" t="s">
        <v>653</v>
      </c>
      <c r="H59" s="1105">
        <f t="shared" si="1"/>
        <v>212422.11000000002</v>
      </c>
      <c r="I59" s="1145"/>
      <c r="J59" s="1105">
        <v>10012.469999999999</v>
      </c>
      <c r="K59" s="1105">
        <v>202409.64</v>
      </c>
      <c r="L59" s="1105"/>
    </row>
    <row r="60" spans="2:22" x14ac:dyDescent="0.2">
      <c r="B60" s="1061">
        <v>14</v>
      </c>
      <c r="C60" s="1064"/>
      <c r="D60" s="1064"/>
      <c r="E60" s="1065" t="s">
        <v>1549</v>
      </c>
      <c r="F60" s="1061" t="s">
        <v>1365</v>
      </c>
      <c r="G60" s="1061" t="s">
        <v>1380</v>
      </c>
      <c r="H60" s="1105">
        <f t="shared" si="1"/>
        <v>53240</v>
      </c>
      <c r="I60" s="1145"/>
      <c r="J60" s="1129">
        <v>8084.1</v>
      </c>
      <c r="K60" s="1129">
        <f>7821</f>
        <v>7821</v>
      </c>
      <c r="L60" s="1129">
        <f>53240-J60-K60</f>
        <v>37334.9</v>
      </c>
    </row>
    <row r="61" spans="2:22" ht="22.8" x14ac:dyDescent="0.2">
      <c r="B61" s="1061">
        <v>15</v>
      </c>
      <c r="C61" s="1064"/>
      <c r="D61" s="1064"/>
      <c r="E61" s="1065" t="s">
        <v>695</v>
      </c>
      <c r="F61" s="1061" t="s">
        <v>1365</v>
      </c>
      <c r="G61" s="1062" t="s">
        <v>1506</v>
      </c>
      <c r="H61" s="1105">
        <f t="shared" ref="H61:H77" si="3">SUM(J61:L61)</f>
        <v>161090</v>
      </c>
      <c r="I61" s="1145"/>
      <c r="J61" s="1105">
        <f>161090-K61</f>
        <v>39489</v>
      </c>
      <c r="K61" s="1105">
        <f>4454+117147</f>
        <v>121601</v>
      </c>
      <c r="L61" s="1105"/>
      <c r="M61" s="109" t="s">
        <v>1546</v>
      </c>
    </row>
    <row r="62" spans="2:22" ht="22.8" x14ac:dyDescent="0.2">
      <c r="B62" s="1061"/>
      <c r="C62" s="1064"/>
      <c r="D62" s="1064"/>
      <c r="E62" s="1065" t="s">
        <v>696</v>
      </c>
      <c r="F62" s="1061" t="s">
        <v>1365</v>
      </c>
      <c r="G62" s="1062" t="s">
        <v>1624</v>
      </c>
      <c r="H62" s="1105">
        <f t="shared" si="3"/>
        <v>330670</v>
      </c>
      <c r="I62" s="1145"/>
      <c r="J62" s="1105"/>
      <c r="K62" s="1105">
        <v>330670</v>
      </c>
      <c r="L62" s="1105"/>
    </row>
    <row r="63" spans="2:22" ht="22.8" x14ac:dyDescent="0.2">
      <c r="B63" s="1061">
        <v>16</v>
      </c>
      <c r="C63" s="1064"/>
      <c r="D63" s="1064"/>
      <c r="E63" s="1065" t="s">
        <v>1378</v>
      </c>
      <c r="F63" s="1061" t="s">
        <v>1365</v>
      </c>
      <c r="G63" s="1117" t="s">
        <v>1379</v>
      </c>
      <c r="H63" s="1105">
        <f t="shared" si="3"/>
        <v>15704.03</v>
      </c>
      <c r="I63" s="1145"/>
      <c r="J63" s="1105"/>
      <c r="K63" s="1105">
        <v>15704.03</v>
      </c>
      <c r="L63" s="1105"/>
      <c r="M63" t="s">
        <v>1381</v>
      </c>
    </row>
    <row r="64" spans="2:22" x14ac:dyDescent="0.2">
      <c r="B64" s="1061">
        <v>17</v>
      </c>
      <c r="C64" s="1064"/>
      <c r="D64" s="1064"/>
      <c r="E64" s="1065" t="s">
        <v>789</v>
      </c>
      <c r="F64" s="1061" t="s">
        <v>1365</v>
      </c>
      <c r="G64" s="1354" t="s">
        <v>786</v>
      </c>
      <c r="H64" s="1105">
        <f t="shared" si="3"/>
        <v>806633.39</v>
      </c>
      <c r="I64" s="1145"/>
      <c r="J64" s="1105">
        <f>284635-60678.61-269</f>
        <v>223687.39</v>
      </c>
      <c r="K64" s="1105"/>
      <c r="L64" s="1371">
        <v>582946</v>
      </c>
    </row>
    <row r="65" spans="2:14" ht="22.8" x14ac:dyDescent="0.2">
      <c r="B65" s="1061"/>
      <c r="C65" s="1064"/>
      <c r="D65" s="1064"/>
      <c r="E65" s="1065" t="s">
        <v>789</v>
      </c>
      <c r="F65" s="1061" t="s">
        <v>1365</v>
      </c>
      <c r="G65" s="1062" t="s">
        <v>1558</v>
      </c>
      <c r="H65" s="1105">
        <f t="shared" si="3"/>
        <v>30000</v>
      </c>
      <c r="I65" s="1145"/>
      <c r="J65" s="1105">
        <v>30000</v>
      </c>
      <c r="K65" s="1105"/>
      <c r="L65" s="1129"/>
      <c r="M65" t="s">
        <v>1608</v>
      </c>
    </row>
    <row r="66" spans="2:14" ht="34.200000000000003" x14ac:dyDescent="0.2">
      <c r="B66" s="1061"/>
      <c r="C66" s="1061"/>
      <c r="D66" s="1061"/>
      <c r="E66" s="1107" t="s">
        <v>174</v>
      </c>
      <c r="F66" s="1061" t="s">
        <v>166</v>
      </c>
      <c r="G66" s="1062" t="s">
        <v>1557</v>
      </c>
      <c r="H66" s="1105">
        <f>SUM(J66:L66)</f>
        <v>390000</v>
      </c>
      <c r="I66" s="1145"/>
      <c r="J66" s="1105"/>
      <c r="K66" s="1105"/>
      <c r="L66" s="1371">
        <v>390000</v>
      </c>
    </row>
    <row r="67" spans="2:14" x14ac:dyDescent="0.2">
      <c r="B67" s="1061">
        <v>18</v>
      </c>
      <c r="C67" s="1064"/>
      <c r="D67" s="1064"/>
      <c r="E67" s="1065" t="s">
        <v>1560</v>
      </c>
      <c r="F67" s="1061" t="s">
        <v>1365</v>
      </c>
      <c r="G67" s="1143" t="s">
        <v>1561</v>
      </c>
      <c r="H67" s="1129">
        <f t="shared" si="3"/>
        <v>15000</v>
      </c>
      <c r="I67" s="1145"/>
      <c r="J67" s="1129">
        <v>900</v>
      </c>
      <c r="K67" s="1129">
        <v>14100</v>
      </c>
      <c r="L67" s="1129"/>
    </row>
    <row r="68" spans="2:14" ht="22.8" x14ac:dyDescent="0.2">
      <c r="B68" s="1061"/>
      <c r="C68" s="1061"/>
      <c r="D68" s="1061"/>
      <c r="E68" s="1107" t="s">
        <v>693</v>
      </c>
      <c r="F68" s="1061" t="s">
        <v>1390</v>
      </c>
      <c r="G68" s="1062" t="s">
        <v>1361</v>
      </c>
      <c r="H68" s="1105">
        <f>SUM(J68:L68)</f>
        <v>2500</v>
      </c>
      <c r="I68" s="1145"/>
      <c r="J68" s="1129">
        <v>2500</v>
      </c>
      <c r="K68" s="1105"/>
      <c r="L68" s="1105"/>
    </row>
    <row r="69" spans="2:14" ht="27.6" customHeight="1" x14ac:dyDescent="0.2">
      <c r="B69" s="1061">
        <v>19</v>
      </c>
      <c r="C69" s="1064"/>
      <c r="D69" s="1064"/>
      <c r="E69" s="1065" t="s">
        <v>707</v>
      </c>
      <c r="F69" s="1061" t="s">
        <v>190</v>
      </c>
      <c r="G69" s="1073" t="s">
        <v>1397</v>
      </c>
      <c r="H69" s="1105">
        <f t="shared" si="3"/>
        <v>7000</v>
      </c>
      <c r="I69" s="1145"/>
      <c r="J69" s="1105">
        <v>700</v>
      </c>
      <c r="K69" s="1105">
        <v>6300</v>
      </c>
      <c r="L69" s="1105"/>
    </row>
    <row r="70" spans="2:14" ht="18.600000000000001" customHeight="1" x14ac:dyDescent="0.2">
      <c r="B70" s="1061">
        <v>20</v>
      </c>
      <c r="C70" s="1064"/>
      <c r="D70" s="1064"/>
      <c r="E70" s="1065" t="s">
        <v>561</v>
      </c>
      <c r="F70" s="1061" t="s">
        <v>190</v>
      </c>
      <c r="G70" s="1073" t="s">
        <v>1556</v>
      </c>
      <c r="H70" s="1105">
        <f t="shared" si="3"/>
        <v>16292</v>
      </c>
      <c r="I70" s="1145"/>
      <c r="J70" s="1105"/>
      <c r="K70" s="1105">
        <v>16292</v>
      </c>
      <c r="L70" s="1105"/>
      <c r="M70" s="109"/>
    </row>
    <row r="71" spans="2:14" ht="18.600000000000001" customHeight="1" x14ac:dyDescent="0.2">
      <c r="B71" s="1061">
        <v>21</v>
      </c>
      <c r="C71" s="1064"/>
      <c r="D71" s="1064"/>
      <c r="E71" s="1065" t="s">
        <v>560</v>
      </c>
      <c r="F71" s="1061" t="s">
        <v>190</v>
      </c>
      <c r="G71" s="1073" t="s">
        <v>393</v>
      </c>
      <c r="H71" s="1105">
        <f t="shared" si="3"/>
        <v>1049</v>
      </c>
      <c r="I71" s="1145"/>
      <c r="J71" s="1105"/>
      <c r="K71" s="1105">
        <v>1049</v>
      </c>
      <c r="L71" s="1105"/>
      <c r="M71" s="109"/>
    </row>
    <row r="72" spans="2:14" ht="20.399999999999999" customHeight="1" x14ac:dyDescent="0.2">
      <c r="B72" s="1061">
        <v>22</v>
      </c>
      <c r="C72" s="1064"/>
      <c r="D72" s="1064"/>
      <c r="E72" s="1065" t="s">
        <v>282</v>
      </c>
      <c r="F72" s="1061" t="s">
        <v>190</v>
      </c>
      <c r="G72" s="1061" t="s">
        <v>647</v>
      </c>
      <c r="H72" s="1105">
        <f>SUM(J72:L72)</f>
        <v>70943</v>
      </c>
      <c r="I72" s="1145"/>
      <c r="J72" s="1105"/>
      <c r="K72" s="1105">
        <f>24529+46414</f>
        <v>70943</v>
      </c>
      <c r="L72" s="1105"/>
      <c r="M72" s="109"/>
    </row>
    <row r="73" spans="2:14" ht="14.4" customHeight="1" x14ac:dyDescent="0.2">
      <c r="B73" s="1061">
        <v>23</v>
      </c>
      <c r="C73" s="1064"/>
      <c r="D73" s="1064"/>
      <c r="E73" s="1065" t="s">
        <v>551</v>
      </c>
      <c r="F73" s="1061" t="s">
        <v>190</v>
      </c>
      <c r="G73" s="1061" t="s">
        <v>552</v>
      </c>
      <c r="H73" s="1105">
        <f>SUM(J73:L73)</f>
        <v>35300</v>
      </c>
      <c r="I73" s="1145"/>
      <c r="J73" s="1105"/>
      <c r="K73" s="1105">
        <f>0+35300</f>
        <v>35300</v>
      </c>
      <c r="L73" s="1105"/>
      <c r="M73" s="109"/>
    </row>
    <row r="74" spans="2:14" x14ac:dyDescent="0.2">
      <c r="B74" s="1061">
        <v>24</v>
      </c>
      <c r="C74" s="1064"/>
      <c r="D74" s="1064"/>
      <c r="E74" s="1065" t="s">
        <v>347</v>
      </c>
      <c r="F74" s="1061" t="s">
        <v>103</v>
      </c>
      <c r="G74" s="1061" t="s">
        <v>392</v>
      </c>
      <c r="H74" s="1105">
        <f t="shared" si="3"/>
        <v>16158</v>
      </c>
      <c r="I74" s="1145"/>
      <c r="J74" s="1105"/>
      <c r="K74" s="1105">
        <v>16158</v>
      </c>
      <c r="L74" s="1105"/>
      <c r="M74" s="110"/>
    </row>
    <row r="75" spans="2:14" x14ac:dyDescent="0.2">
      <c r="B75" s="1061">
        <v>25</v>
      </c>
      <c r="C75" s="1064"/>
      <c r="D75" s="1064"/>
      <c r="E75" s="1065" t="s">
        <v>548</v>
      </c>
      <c r="F75" s="1061" t="s">
        <v>103</v>
      </c>
      <c r="G75" s="1061" t="s">
        <v>1401</v>
      </c>
      <c r="H75" s="1105">
        <f t="shared" si="3"/>
        <v>250373</v>
      </c>
      <c r="I75" s="1145"/>
      <c r="J75" s="1105"/>
      <c r="K75" s="1105">
        <v>250373</v>
      </c>
      <c r="L75" s="1105"/>
      <c r="M75" s="109"/>
    </row>
    <row r="76" spans="2:14" x14ac:dyDescent="0.2">
      <c r="B76" s="1061">
        <v>26</v>
      </c>
      <c r="C76" s="1064"/>
      <c r="D76" s="1064"/>
      <c r="E76" s="1065" t="s">
        <v>558</v>
      </c>
      <c r="F76" s="1061" t="s">
        <v>387</v>
      </c>
      <c r="G76" s="1061" t="s">
        <v>664</v>
      </c>
      <c r="H76" s="1105">
        <f t="shared" si="3"/>
        <v>6454</v>
      </c>
      <c r="I76" s="1145"/>
      <c r="J76" s="1105"/>
      <c r="K76" s="1105">
        <v>6454</v>
      </c>
      <c r="L76" s="1105"/>
      <c r="M76" s="109"/>
    </row>
    <row r="77" spans="2:14" x14ac:dyDescent="0.2">
      <c r="B77" s="1061">
        <v>27</v>
      </c>
      <c r="C77" s="1064"/>
      <c r="D77" s="1064"/>
      <c r="E77" s="1065" t="s">
        <v>708</v>
      </c>
      <c r="F77" s="1061" t="s">
        <v>387</v>
      </c>
      <c r="G77" s="1061" t="s">
        <v>1404</v>
      </c>
      <c r="H77" s="1105">
        <f t="shared" si="3"/>
        <v>46613</v>
      </c>
      <c r="I77" s="1145"/>
      <c r="J77" s="1105"/>
      <c r="K77" s="1105">
        <f>12323+34290</f>
        <v>46613</v>
      </c>
      <c r="L77" s="1105"/>
      <c r="M77" s="110" t="s">
        <v>1559</v>
      </c>
    </row>
    <row r="78" spans="2:14" ht="12" x14ac:dyDescent="0.25">
      <c r="C78" s="279"/>
      <c r="D78" s="279"/>
      <c r="E78" s="1066"/>
      <c r="F78" s="1066"/>
      <c r="G78" s="1074" t="s">
        <v>1570</v>
      </c>
      <c r="H78" s="1479">
        <f>SUM(H46:H77)</f>
        <v>4711251.2122</v>
      </c>
      <c r="I78" s="1480"/>
      <c r="J78" s="1479">
        <f>SUM(J46:J77)</f>
        <v>719695.47</v>
      </c>
      <c r="K78" s="1479">
        <f>SUM(K46:K77)</f>
        <v>1769418.0000000002</v>
      </c>
      <c r="L78" s="1479">
        <f>SUM(L46:L77)</f>
        <v>2222137.7422000002</v>
      </c>
    </row>
    <row r="79" spans="2:14" x14ac:dyDescent="0.2">
      <c r="C79" s="279"/>
      <c r="D79" s="279"/>
      <c r="E79" s="1066"/>
      <c r="H79" s="1481"/>
      <c r="I79" s="1145"/>
      <c r="J79" s="1481"/>
      <c r="K79" s="1481"/>
      <c r="L79" s="1481"/>
      <c r="N79" s="109"/>
    </row>
    <row r="80" spans="2:14" ht="12" x14ac:dyDescent="0.25">
      <c r="B80" s="106" t="s">
        <v>1626</v>
      </c>
      <c r="H80" s="464"/>
      <c r="I80" s="1145"/>
      <c r="J80" s="464"/>
      <c r="K80" s="464"/>
      <c r="L80" s="464"/>
      <c r="N80" s="109"/>
    </row>
    <row r="81" spans="1:13" ht="12" customHeight="1" x14ac:dyDescent="0.25">
      <c r="B81" s="1510" t="s">
        <v>389</v>
      </c>
      <c r="C81" s="1510" t="s">
        <v>290</v>
      </c>
      <c r="D81" s="1510" t="s">
        <v>291</v>
      </c>
      <c r="E81" s="1510" t="s">
        <v>1408</v>
      </c>
      <c r="F81" s="1516" t="s">
        <v>1363</v>
      </c>
      <c r="G81" s="1510" t="s">
        <v>1569</v>
      </c>
      <c r="H81" s="1513" t="s">
        <v>650</v>
      </c>
      <c r="I81" s="1482"/>
      <c r="J81" s="1509" t="s">
        <v>1373</v>
      </c>
      <c r="K81" s="1509"/>
      <c r="L81" s="1509"/>
    </row>
    <row r="82" spans="1:13" ht="24" x14ac:dyDescent="0.25">
      <c r="B82" s="1510"/>
      <c r="C82" s="1510"/>
      <c r="D82" s="1510"/>
      <c r="E82" s="1510"/>
      <c r="F82" s="1516"/>
      <c r="G82" s="1510"/>
      <c r="H82" s="1513"/>
      <c r="I82" s="1482"/>
      <c r="J82" s="1356" t="s">
        <v>185</v>
      </c>
      <c r="K82" s="1356" t="s">
        <v>649</v>
      </c>
      <c r="L82" s="1356" t="s">
        <v>390</v>
      </c>
    </row>
    <row r="83" spans="1:13" ht="22.8" x14ac:dyDescent="0.2">
      <c r="B83" s="1061"/>
      <c r="C83" s="1062"/>
      <c r="D83" s="1062"/>
      <c r="E83" s="1106" t="s">
        <v>169</v>
      </c>
      <c r="F83" s="1061" t="s">
        <v>158</v>
      </c>
      <c r="G83" s="1117" t="s">
        <v>1430</v>
      </c>
      <c r="H83" s="1483">
        <f t="shared" ref="H83:H101" si="4">SUM(J83:L83)</f>
        <v>9400</v>
      </c>
      <c r="I83" s="1484"/>
      <c r="J83" s="1483">
        <v>9400</v>
      </c>
      <c r="K83" s="1483"/>
      <c r="L83" s="1483"/>
    </row>
    <row r="84" spans="1:13" ht="16.2" customHeight="1" x14ac:dyDescent="0.2">
      <c r="A84" t="s">
        <v>194</v>
      </c>
      <c r="B84" s="1061"/>
      <c r="C84" s="1061"/>
      <c r="D84" s="1061"/>
      <c r="E84" s="1107" t="s">
        <v>170</v>
      </c>
      <c r="F84" s="1061" t="s">
        <v>1365</v>
      </c>
      <c r="G84" s="1062" t="s">
        <v>168</v>
      </c>
      <c r="H84" s="1483">
        <f t="shared" si="4"/>
        <v>1000</v>
      </c>
      <c r="I84" s="1145"/>
      <c r="J84" s="1105">
        <v>1000</v>
      </c>
      <c r="K84" s="1105"/>
      <c r="L84" s="1105"/>
    </row>
    <row r="85" spans="1:13" ht="22.95" customHeight="1" x14ac:dyDescent="0.2">
      <c r="A85" t="s">
        <v>194</v>
      </c>
      <c r="B85" s="1061"/>
      <c r="C85" s="1061"/>
      <c r="D85" s="1061"/>
      <c r="E85" s="1107" t="s">
        <v>170</v>
      </c>
      <c r="F85" s="1061" t="s">
        <v>1365</v>
      </c>
      <c r="G85" s="1062" t="s">
        <v>1382</v>
      </c>
      <c r="H85" s="1483">
        <f t="shared" si="4"/>
        <v>1000</v>
      </c>
      <c r="I85" s="1145"/>
      <c r="J85" s="1105">
        <v>1000</v>
      </c>
      <c r="K85" s="1105"/>
      <c r="L85" s="1105"/>
      <c r="M85" s="111"/>
    </row>
    <row r="86" spans="1:13" ht="15" customHeight="1" x14ac:dyDescent="0.2">
      <c r="A86" t="s">
        <v>194</v>
      </c>
      <c r="B86" s="1061"/>
      <c r="C86" s="1061"/>
      <c r="D86" s="1061"/>
      <c r="E86" s="1107" t="s">
        <v>170</v>
      </c>
      <c r="F86" s="1061" t="s">
        <v>1365</v>
      </c>
      <c r="G86" s="1062" t="s">
        <v>1433</v>
      </c>
      <c r="H86" s="1483">
        <f t="shared" si="4"/>
        <v>1000</v>
      </c>
      <c r="I86" s="1145"/>
      <c r="J86" s="1105">
        <v>1000</v>
      </c>
      <c r="K86" s="1105"/>
      <c r="L86" s="1105"/>
      <c r="M86" s="111"/>
    </row>
    <row r="87" spans="1:13" ht="22.2" customHeight="1" x14ac:dyDescent="0.2">
      <c r="A87" t="s">
        <v>194</v>
      </c>
      <c r="B87" s="1061"/>
      <c r="C87" s="1061"/>
      <c r="D87" s="1061"/>
      <c r="E87" s="1107" t="s">
        <v>170</v>
      </c>
      <c r="F87" s="1061" t="s">
        <v>1365</v>
      </c>
      <c r="G87" s="1062" t="s">
        <v>1141</v>
      </c>
      <c r="H87" s="1483">
        <f t="shared" si="4"/>
        <v>5167</v>
      </c>
      <c r="I87" s="1145"/>
      <c r="J87" s="1105">
        <v>5167</v>
      </c>
      <c r="K87" s="1105"/>
      <c r="L87" s="1105"/>
      <c r="M87" s="111"/>
    </row>
    <row r="88" spans="1:13" ht="15.6" customHeight="1" x14ac:dyDescent="0.2">
      <c r="A88" t="s">
        <v>194</v>
      </c>
      <c r="B88" s="1061"/>
      <c r="C88" s="1062" t="s">
        <v>678</v>
      </c>
      <c r="D88" s="1062"/>
      <c r="E88" s="1106" t="s">
        <v>736</v>
      </c>
      <c r="F88" s="1061" t="s">
        <v>1365</v>
      </c>
      <c r="G88" s="1062" t="s">
        <v>1366</v>
      </c>
      <c r="H88" s="1483">
        <f t="shared" si="4"/>
        <v>40000</v>
      </c>
      <c r="I88" s="1484"/>
      <c r="J88" s="1483">
        <v>40000</v>
      </c>
      <c r="K88" s="1483"/>
      <c r="L88" s="1483"/>
      <c r="M88" s="111"/>
    </row>
    <row r="89" spans="1:13" ht="22.8" x14ac:dyDescent="0.2">
      <c r="A89" t="s">
        <v>194</v>
      </c>
      <c r="B89" s="1061"/>
      <c r="C89" s="1062" t="s">
        <v>679</v>
      </c>
      <c r="D89" s="1062"/>
      <c r="E89" s="1106" t="s">
        <v>736</v>
      </c>
      <c r="F89" s="1061" t="s">
        <v>1365</v>
      </c>
      <c r="G89" s="1062" t="s">
        <v>1367</v>
      </c>
      <c r="H89" s="1483">
        <f t="shared" si="4"/>
        <v>10000</v>
      </c>
      <c r="I89" s="1484"/>
      <c r="J89" s="1483">
        <v>10000</v>
      </c>
      <c r="K89" s="1483"/>
      <c r="L89" s="1483"/>
      <c r="M89" s="111"/>
    </row>
    <row r="90" spans="1:13" x14ac:dyDescent="0.2">
      <c r="B90" s="1061"/>
      <c r="C90" s="1061"/>
      <c r="D90" s="1061"/>
      <c r="E90" s="1107" t="s">
        <v>170</v>
      </c>
      <c r="F90" s="1061" t="s">
        <v>1365</v>
      </c>
      <c r="G90" s="1062" t="s">
        <v>1547</v>
      </c>
      <c r="H90" s="1483">
        <f t="shared" si="4"/>
        <v>20000</v>
      </c>
      <c r="I90" s="1145"/>
      <c r="J90" s="1105">
        <v>20000</v>
      </c>
      <c r="K90" s="1105"/>
      <c r="L90" s="1105"/>
      <c r="M90" s="111" t="s">
        <v>1583</v>
      </c>
    </row>
    <row r="91" spans="1:13" ht="45.6" x14ac:dyDescent="0.2">
      <c r="B91" s="1061"/>
      <c r="C91" s="1061"/>
      <c r="D91" s="1061"/>
      <c r="E91" s="1107" t="s">
        <v>170</v>
      </c>
      <c r="F91" s="1061" t="s">
        <v>1365</v>
      </c>
      <c r="G91" s="1062" t="s">
        <v>1451</v>
      </c>
      <c r="H91" s="1483">
        <f t="shared" si="4"/>
        <v>7092</v>
      </c>
      <c r="I91" s="1145"/>
      <c r="J91" s="1105">
        <v>7092</v>
      </c>
      <c r="K91" s="1105"/>
      <c r="L91" s="1105"/>
      <c r="M91" s="111"/>
    </row>
    <row r="92" spans="1:13" x14ac:dyDescent="0.2">
      <c r="B92" s="1061"/>
      <c r="C92" s="1061"/>
      <c r="D92" s="1061"/>
      <c r="E92" s="1107" t="s">
        <v>170</v>
      </c>
      <c r="F92" s="1061" t="s">
        <v>1365</v>
      </c>
      <c r="G92" s="1062" t="s">
        <v>1197</v>
      </c>
      <c r="H92" s="1483">
        <f t="shared" si="4"/>
        <v>300000</v>
      </c>
      <c r="I92" s="1145"/>
      <c r="J92" s="1105">
        <v>300000</v>
      </c>
      <c r="K92" s="1105"/>
      <c r="L92" s="1105"/>
      <c r="M92" s="111"/>
    </row>
    <row r="93" spans="1:13" x14ac:dyDescent="0.2">
      <c r="B93" s="1061"/>
      <c r="C93" s="1061"/>
      <c r="D93" s="1061"/>
      <c r="E93" s="1107" t="s">
        <v>170</v>
      </c>
      <c r="F93" s="1061" t="s">
        <v>1365</v>
      </c>
      <c r="G93" s="1062" t="s">
        <v>1657</v>
      </c>
      <c r="H93" s="1483">
        <f t="shared" si="4"/>
        <v>250000</v>
      </c>
      <c r="I93" s="1145"/>
      <c r="J93" s="1105">
        <v>250000</v>
      </c>
      <c r="K93" s="1105"/>
      <c r="L93" s="1105"/>
      <c r="M93" s="111"/>
    </row>
    <row r="94" spans="1:13" x14ac:dyDescent="0.2">
      <c r="B94" s="1061"/>
      <c r="C94" s="1061"/>
      <c r="D94" s="1061"/>
      <c r="E94" s="1107" t="s">
        <v>170</v>
      </c>
      <c r="F94" s="1061" t="s">
        <v>1365</v>
      </c>
      <c r="G94" s="1117" t="s">
        <v>1509</v>
      </c>
      <c r="H94" s="1483">
        <f t="shared" si="4"/>
        <v>9000</v>
      </c>
      <c r="I94" s="1145"/>
      <c r="J94" s="1105">
        <v>9000</v>
      </c>
      <c r="K94" s="1105"/>
      <c r="L94" s="1105"/>
    </row>
    <row r="95" spans="1:13" x14ac:dyDescent="0.2">
      <c r="B95" s="1061"/>
      <c r="C95" s="1061"/>
      <c r="D95" s="1061"/>
      <c r="E95" s="1107" t="s">
        <v>383</v>
      </c>
      <c r="F95" s="1143" t="s">
        <v>383</v>
      </c>
      <c r="G95" s="1062" t="s">
        <v>1473</v>
      </c>
      <c r="H95" s="1483">
        <f t="shared" si="4"/>
        <v>55000</v>
      </c>
      <c r="I95" s="1145"/>
      <c r="J95" s="1105">
        <v>55000</v>
      </c>
      <c r="K95" s="1105"/>
      <c r="L95" s="1105"/>
    </row>
    <row r="96" spans="1:13" x14ac:dyDescent="0.2">
      <c r="B96" s="1061"/>
      <c r="C96" s="1061"/>
      <c r="D96" s="1061"/>
      <c r="E96" s="1107" t="s">
        <v>383</v>
      </c>
      <c r="F96" s="1143" t="s">
        <v>383</v>
      </c>
      <c r="G96" s="1062" t="s">
        <v>1474</v>
      </c>
      <c r="H96" s="1483">
        <f t="shared" si="4"/>
        <v>25000</v>
      </c>
      <c r="I96" s="1145"/>
      <c r="J96" s="1105">
        <v>25000</v>
      </c>
      <c r="K96" s="1105"/>
      <c r="L96" s="1105"/>
    </row>
    <row r="97" spans="1:15" ht="22.8" x14ac:dyDescent="0.2">
      <c r="A97" t="s">
        <v>5</v>
      </c>
      <c r="B97" s="1130" t="s">
        <v>1596</v>
      </c>
      <c r="C97" s="1061"/>
      <c r="D97" s="1061"/>
      <c r="E97" s="1107" t="s">
        <v>383</v>
      </c>
      <c r="F97" s="1143" t="s">
        <v>383</v>
      </c>
      <c r="G97" s="1062" t="s">
        <v>1516</v>
      </c>
      <c r="H97" s="1483">
        <f t="shared" si="4"/>
        <v>54930</v>
      </c>
      <c r="I97" s="1145"/>
      <c r="J97" s="1105">
        <v>54930</v>
      </c>
      <c r="K97" s="1105"/>
      <c r="L97" s="1105"/>
      <c r="M97" s="1167" t="s">
        <v>1514</v>
      </c>
    </row>
    <row r="98" spans="1:15" x14ac:dyDescent="0.2">
      <c r="B98" s="1130"/>
      <c r="C98" s="1061"/>
      <c r="D98" s="1061"/>
      <c r="E98" s="1107" t="s">
        <v>383</v>
      </c>
      <c r="F98" s="1143" t="s">
        <v>383</v>
      </c>
      <c r="G98" s="1062" t="s">
        <v>1597</v>
      </c>
      <c r="H98" s="1483">
        <f t="shared" si="4"/>
        <v>18000</v>
      </c>
      <c r="I98" s="1145"/>
      <c r="J98" s="1105">
        <v>18000</v>
      </c>
      <c r="K98" s="1105"/>
      <c r="L98" s="1105"/>
    </row>
    <row r="99" spans="1:15" x14ac:dyDescent="0.2">
      <c r="B99" s="1130"/>
      <c r="C99" s="1061"/>
      <c r="D99" s="1061"/>
      <c r="E99" s="1107" t="s">
        <v>383</v>
      </c>
      <c r="F99" s="1143" t="s">
        <v>383</v>
      </c>
      <c r="G99" s="1062" t="s">
        <v>1354</v>
      </c>
      <c r="H99" s="1483">
        <f t="shared" si="4"/>
        <v>15000</v>
      </c>
      <c r="I99" s="1145"/>
      <c r="J99" s="1105">
        <v>15000</v>
      </c>
      <c r="K99" s="1105"/>
      <c r="L99" s="1105"/>
    </row>
    <row r="100" spans="1:15" x14ac:dyDescent="0.2">
      <c r="B100" s="1061"/>
      <c r="C100" s="1061"/>
      <c r="D100" s="1061"/>
      <c r="E100" s="1107" t="s">
        <v>383</v>
      </c>
      <c r="F100" s="1143" t="s">
        <v>383</v>
      </c>
      <c r="G100" s="1062" t="s">
        <v>1462</v>
      </c>
      <c r="H100" s="1483">
        <f t="shared" si="4"/>
        <v>546771</v>
      </c>
      <c r="I100" s="1145"/>
      <c r="J100" s="1485"/>
      <c r="K100" s="1485">
        <v>382739</v>
      </c>
      <c r="L100" s="1485">
        <v>164032</v>
      </c>
      <c r="M100" t="s">
        <v>1582</v>
      </c>
    </row>
    <row r="101" spans="1:15" x14ac:dyDescent="0.2">
      <c r="B101" s="1061"/>
      <c r="C101" s="1061"/>
      <c r="D101" s="1061"/>
      <c r="E101" s="1107" t="s">
        <v>383</v>
      </c>
      <c r="F101" s="1143" t="s">
        <v>383</v>
      </c>
      <c r="G101" s="1062" t="s">
        <v>1460</v>
      </c>
      <c r="H101" s="1483">
        <f t="shared" si="4"/>
        <v>1204480</v>
      </c>
      <c r="I101" s="1145"/>
      <c r="J101" s="1129"/>
      <c r="K101" s="1129">
        <v>297245</v>
      </c>
      <c r="L101" s="1129">
        <f>1204480-K101</f>
        <v>907235</v>
      </c>
      <c r="M101" t="s">
        <v>1584</v>
      </c>
      <c r="N101" t="s">
        <v>1472</v>
      </c>
    </row>
    <row r="102" spans="1:15" x14ac:dyDescent="0.2">
      <c r="B102" s="1061"/>
      <c r="C102" s="1061"/>
      <c r="D102" s="1061"/>
      <c r="E102" s="1107" t="s">
        <v>383</v>
      </c>
      <c r="F102" s="1143" t="s">
        <v>383</v>
      </c>
      <c r="G102" s="1062" t="s">
        <v>1463</v>
      </c>
      <c r="H102" s="1105">
        <f t="shared" ref="H102:H104" si="5">SUM(J102:L102)</f>
        <v>1300</v>
      </c>
      <c r="I102" s="1145"/>
      <c r="J102" s="1485">
        <v>1300</v>
      </c>
      <c r="K102" s="1485"/>
      <c r="L102" s="1485"/>
      <c r="M102" t="s">
        <v>1469</v>
      </c>
      <c r="O102" t="s">
        <v>1470</v>
      </c>
    </row>
    <row r="103" spans="1:15" x14ac:dyDescent="0.2">
      <c r="B103" s="1061"/>
      <c r="C103" s="1061"/>
      <c r="D103" s="1061"/>
      <c r="E103" s="1107" t="s">
        <v>383</v>
      </c>
      <c r="F103" s="1143" t="s">
        <v>383</v>
      </c>
      <c r="G103" s="1062" t="s">
        <v>1464</v>
      </c>
      <c r="H103" s="1105">
        <f t="shared" si="5"/>
        <v>4000</v>
      </c>
      <c r="I103" s="1145"/>
      <c r="J103" s="1485">
        <v>4000</v>
      </c>
      <c r="K103" s="1485"/>
      <c r="L103" s="1485"/>
      <c r="M103" t="s">
        <v>1469</v>
      </c>
    </row>
    <row r="104" spans="1:15" x14ac:dyDescent="0.2">
      <c r="B104" s="1061"/>
      <c r="C104" s="1061"/>
      <c r="D104" s="1061"/>
      <c r="E104" s="1107" t="s">
        <v>383</v>
      </c>
      <c r="F104" s="1143" t="s">
        <v>383</v>
      </c>
      <c r="G104" s="1062" t="s">
        <v>1465</v>
      </c>
      <c r="H104" s="1105">
        <f t="shared" si="5"/>
        <v>50000</v>
      </c>
      <c r="I104" s="1145"/>
      <c r="J104" s="1485">
        <v>50000</v>
      </c>
      <c r="K104" s="1485"/>
      <c r="L104" s="1485"/>
      <c r="M104" t="s">
        <v>1585</v>
      </c>
    </row>
    <row r="105" spans="1:15" x14ac:dyDescent="0.2">
      <c r="B105" s="1061"/>
      <c r="C105" s="1061"/>
      <c r="D105" s="1061"/>
      <c r="E105" s="1107" t="s">
        <v>383</v>
      </c>
      <c r="F105" s="1143" t="s">
        <v>383</v>
      </c>
      <c r="G105" s="1062" t="s">
        <v>1466</v>
      </c>
      <c r="H105" s="1105">
        <f t="shared" ref="H105:H126" si="6">SUM(J105:L105)</f>
        <v>15000</v>
      </c>
      <c r="I105" s="1145"/>
      <c r="J105" s="1105">
        <v>15000</v>
      </c>
      <c r="K105" s="1105"/>
      <c r="L105" s="1105"/>
      <c r="M105" s="1167" t="s">
        <v>1515</v>
      </c>
    </row>
    <row r="106" spans="1:15" x14ac:dyDescent="0.2">
      <c r="B106" s="1061"/>
      <c r="C106" s="1061"/>
      <c r="D106" s="1061"/>
      <c r="E106" s="1107" t="s">
        <v>383</v>
      </c>
      <c r="F106" s="1143" t="s">
        <v>383</v>
      </c>
      <c r="G106" s="1062" t="s">
        <v>1467</v>
      </c>
      <c r="H106" s="1105">
        <f t="shared" si="6"/>
        <v>25000</v>
      </c>
      <c r="I106" s="1145"/>
      <c r="J106" s="1485">
        <v>25000</v>
      </c>
      <c r="K106" s="1485"/>
      <c r="L106" s="1485"/>
      <c r="M106" t="s">
        <v>1469</v>
      </c>
    </row>
    <row r="107" spans="1:15" x14ac:dyDescent="0.2">
      <c r="B107" s="1130"/>
      <c r="C107" s="1061"/>
      <c r="D107" s="1061"/>
      <c r="E107" s="1107" t="s">
        <v>383</v>
      </c>
      <c r="F107" s="1143" t="s">
        <v>383</v>
      </c>
      <c r="G107" s="1062" t="s">
        <v>1351</v>
      </c>
      <c r="H107" s="1105">
        <f t="shared" si="6"/>
        <v>13140</v>
      </c>
      <c r="I107" s="1145"/>
      <c r="J107" s="1105">
        <v>13140</v>
      </c>
      <c r="K107" s="1105"/>
      <c r="L107" s="1105"/>
    </row>
    <row r="108" spans="1:15" x14ac:dyDescent="0.2">
      <c r="B108" s="1061"/>
      <c r="C108" s="1061"/>
      <c r="D108" s="1061"/>
      <c r="E108" s="1107" t="s">
        <v>383</v>
      </c>
      <c r="F108" s="1143" t="s">
        <v>383</v>
      </c>
      <c r="G108" s="1062" t="s">
        <v>1510</v>
      </c>
      <c r="H108" s="1105">
        <f t="shared" si="6"/>
        <v>32000</v>
      </c>
      <c r="I108" s="1145"/>
      <c r="J108" s="1105">
        <v>16000</v>
      </c>
      <c r="K108" s="1129">
        <v>16000</v>
      </c>
      <c r="L108" s="1105"/>
      <c r="M108" s="1167" t="s">
        <v>1511</v>
      </c>
    </row>
    <row r="109" spans="1:15" x14ac:dyDescent="0.2">
      <c r="B109" s="1061"/>
      <c r="C109" s="1061"/>
      <c r="D109" s="1061"/>
      <c r="E109" s="1107" t="s">
        <v>383</v>
      </c>
      <c r="F109" s="1143" t="s">
        <v>383</v>
      </c>
      <c r="G109" s="1062" t="s">
        <v>1475</v>
      </c>
      <c r="H109" s="1105">
        <f t="shared" si="6"/>
        <v>290000</v>
      </c>
      <c r="I109" s="1145"/>
      <c r="J109" s="1105">
        <v>87000</v>
      </c>
      <c r="K109" s="1105"/>
      <c r="L109" s="1105">
        <f>290000-J109</f>
        <v>203000</v>
      </c>
      <c r="M109" t="s">
        <v>1477</v>
      </c>
    </row>
    <row r="110" spans="1:15" ht="13.2" customHeight="1" x14ac:dyDescent="0.2">
      <c r="B110" s="1061"/>
      <c r="C110" s="1061"/>
      <c r="D110" s="1061"/>
      <c r="E110" s="1107" t="s">
        <v>383</v>
      </c>
      <c r="F110" s="1143" t="s">
        <v>383</v>
      </c>
      <c r="G110" s="1061" t="s">
        <v>1476</v>
      </c>
      <c r="H110" s="1105">
        <f t="shared" si="6"/>
        <v>180000</v>
      </c>
      <c r="I110" s="1145"/>
      <c r="J110" s="1105">
        <v>54000</v>
      </c>
      <c r="K110" s="1105"/>
      <c r="L110" s="1105">
        <f>180000-J110</f>
        <v>126000</v>
      </c>
      <c r="M110" t="s">
        <v>1477</v>
      </c>
    </row>
    <row r="111" spans="1:15" x14ac:dyDescent="0.2">
      <c r="B111" s="1061"/>
      <c r="C111" s="1061"/>
      <c r="D111" s="1061"/>
      <c r="E111" s="1107" t="s">
        <v>383</v>
      </c>
      <c r="F111" s="1143" t="s">
        <v>383</v>
      </c>
      <c r="G111" s="1062" t="s">
        <v>1478</v>
      </c>
      <c r="H111" s="1105">
        <f t="shared" si="6"/>
        <v>44104.5</v>
      </c>
      <c r="I111" s="1145"/>
      <c r="J111" s="1105">
        <v>44104.5</v>
      </c>
      <c r="K111" s="1105"/>
      <c r="L111" s="1105"/>
      <c r="M111" s="1167" t="s">
        <v>1592</v>
      </c>
    </row>
    <row r="112" spans="1:15" x14ac:dyDescent="0.2">
      <c r="B112" s="1061"/>
      <c r="C112" s="1061"/>
      <c r="D112" s="1061"/>
      <c r="E112" s="1107" t="s">
        <v>383</v>
      </c>
      <c r="F112" s="1143" t="s">
        <v>383</v>
      </c>
      <c r="G112" s="1062" t="s">
        <v>1479</v>
      </c>
      <c r="H112" s="1105">
        <f t="shared" si="6"/>
        <v>95832</v>
      </c>
      <c r="I112" s="1145"/>
      <c r="J112" s="1105">
        <v>95832</v>
      </c>
      <c r="K112" s="1105"/>
      <c r="L112" s="1105"/>
      <c r="M112" s="1167" t="s">
        <v>1592</v>
      </c>
    </row>
    <row r="113" spans="2:13" x14ac:dyDescent="0.2">
      <c r="B113" s="1061"/>
      <c r="C113" s="1061"/>
      <c r="D113" s="1061"/>
      <c r="E113" s="1107" t="s">
        <v>383</v>
      </c>
      <c r="F113" s="1143" t="s">
        <v>383</v>
      </c>
      <c r="G113" s="1062" t="s">
        <v>1480</v>
      </c>
      <c r="H113" s="1105">
        <f t="shared" si="6"/>
        <v>50000</v>
      </c>
      <c r="I113" s="1145"/>
      <c r="J113" s="1105">
        <v>50000</v>
      </c>
      <c r="K113" s="1105"/>
      <c r="L113" s="1105"/>
      <c r="M113" s="1167" t="s">
        <v>1512</v>
      </c>
    </row>
    <row r="114" spans="2:13" x14ac:dyDescent="0.2">
      <c r="B114" s="1061"/>
      <c r="C114" s="1061"/>
      <c r="D114" s="1061"/>
      <c r="E114" s="1107" t="s">
        <v>383</v>
      </c>
      <c r="F114" s="1143" t="s">
        <v>383</v>
      </c>
      <c r="G114" s="1062" t="s">
        <v>1481</v>
      </c>
      <c r="H114" s="1105">
        <f t="shared" si="6"/>
        <v>50000</v>
      </c>
      <c r="I114" s="1145"/>
      <c r="J114" s="1105">
        <v>50000</v>
      </c>
      <c r="K114" s="1105"/>
      <c r="L114" s="1105"/>
      <c r="M114" s="1167" t="s">
        <v>1513</v>
      </c>
    </row>
    <row r="115" spans="2:13" ht="22.8" x14ac:dyDescent="0.2">
      <c r="B115" s="1061"/>
      <c r="C115" s="1061"/>
      <c r="D115" s="1061"/>
      <c r="E115" s="1107" t="s">
        <v>171</v>
      </c>
      <c r="F115" s="1061" t="s">
        <v>1384</v>
      </c>
      <c r="G115" s="1062" t="s">
        <v>1385</v>
      </c>
      <c r="H115" s="1105">
        <f t="shared" si="6"/>
        <v>2810</v>
      </c>
      <c r="I115" s="1145"/>
      <c r="J115" s="1105">
        <v>2810</v>
      </c>
      <c r="K115" s="1105"/>
      <c r="L115" s="1105"/>
      <c r="M115" s="111"/>
    </row>
    <row r="116" spans="2:13" x14ac:dyDescent="0.2">
      <c r="B116" s="1061"/>
      <c r="C116" s="1061"/>
      <c r="D116" s="1061"/>
      <c r="E116" s="1107" t="s">
        <v>171</v>
      </c>
      <c r="F116" s="1061" t="s">
        <v>1384</v>
      </c>
      <c r="G116" s="1062" t="s">
        <v>1386</v>
      </c>
      <c r="H116" s="1105">
        <f t="shared" si="6"/>
        <v>7800</v>
      </c>
      <c r="I116" s="1145"/>
      <c r="J116" s="1105">
        <v>7800</v>
      </c>
      <c r="K116" s="1105"/>
      <c r="L116" s="1105"/>
      <c r="M116" s="111"/>
    </row>
    <row r="117" spans="2:13" x14ac:dyDescent="0.2">
      <c r="B117" s="1061"/>
      <c r="C117" s="1061"/>
      <c r="D117" s="1061"/>
      <c r="E117" s="1107" t="s">
        <v>189</v>
      </c>
      <c r="F117" s="1061" t="s">
        <v>190</v>
      </c>
      <c r="G117" s="1165" t="s">
        <v>1502</v>
      </c>
      <c r="H117" s="1105">
        <f t="shared" si="6"/>
        <v>28315</v>
      </c>
      <c r="I117" s="1145"/>
      <c r="J117" s="1105">
        <v>28315</v>
      </c>
      <c r="K117" s="1105"/>
      <c r="L117" s="1105"/>
      <c r="M117" s="111"/>
    </row>
    <row r="118" spans="2:13" ht="22.8" x14ac:dyDescent="0.2">
      <c r="B118" s="1061"/>
      <c r="C118" s="1061"/>
      <c r="D118" s="1061"/>
      <c r="E118" s="1107" t="s">
        <v>189</v>
      </c>
      <c r="F118" s="1061" t="s">
        <v>190</v>
      </c>
      <c r="G118" s="1085" t="s">
        <v>1395</v>
      </c>
      <c r="H118" s="1105">
        <f t="shared" si="6"/>
        <v>23000</v>
      </c>
      <c r="I118" s="1145"/>
      <c r="J118" s="1105">
        <v>23000</v>
      </c>
      <c r="K118" s="1105"/>
      <c r="L118" s="1105"/>
      <c r="M118" s="111"/>
    </row>
    <row r="119" spans="2:13" ht="22.8" x14ac:dyDescent="0.2">
      <c r="B119" s="1061"/>
      <c r="C119" s="1061"/>
      <c r="D119" s="1061"/>
      <c r="E119" s="1107" t="s">
        <v>189</v>
      </c>
      <c r="F119" s="1061" t="s">
        <v>190</v>
      </c>
      <c r="G119" s="1085" t="s">
        <v>1167</v>
      </c>
      <c r="H119" s="1105">
        <f t="shared" si="6"/>
        <v>1000</v>
      </c>
      <c r="I119" s="1145"/>
      <c r="J119" s="1105">
        <v>1000</v>
      </c>
      <c r="K119" s="1105"/>
      <c r="L119" s="1105"/>
      <c r="M119" s="111"/>
    </row>
    <row r="120" spans="2:13" x14ac:dyDescent="0.2">
      <c r="B120" s="1061"/>
      <c r="C120" s="1061"/>
      <c r="D120" s="1061"/>
      <c r="E120" s="1107" t="s">
        <v>189</v>
      </c>
      <c r="F120" s="1061" t="s">
        <v>190</v>
      </c>
      <c r="G120" s="1085" t="s">
        <v>1396</v>
      </c>
      <c r="H120" s="1105">
        <f t="shared" si="6"/>
        <v>30620</v>
      </c>
      <c r="I120" s="1145"/>
      <c r="J120" s="1105">
        <v>30620</v>
      </c>
      <c r="K120" s="1105"/>
      <c r="L120" s="1105"/>
      <c r="M120" s="111"/>
    </row>
    <row r="121" spans="2:13" x14ac:dyDescent="0.2">
      <c r="B121" s="1061"/>
      <c r="C121" s="1061"/>
      <c r="D121" s="1061"/>
      <c r="E121" s="1107" t="s">
        <v>189</v>
      </c>
      <c r="F121" s="1061" t="s">
        <v>190</v>
      </c>
      <c r="G121" s="1085" t="s">
        <v>1437</v>
      </c>
      <c r="H121" s="1105">
        <f t="shared" si="6"/>
        <v>4000</v>
      </c>
      <c r="I121" s="1145"/>
      <c r="J121" s="1105">
        <v>4000</v>
      </c>
      <c r="K121" s="1105"/>
      <c r="L121" s="1105"/>
      <c r="M121" s="111"/>
    </row>
    <row r="122" spans="2:13" x14ac:dyDescent="0.2">
      <c r="B122" s="1061"/>
      <c r="C122" s="1061"/>
      <c r="D122" s="1061"/>
      <c r="E122" s="1107" t="s">
        <v>189</v>
      </c>
      <c r="F122" s="1061" t="s">
        <v>190</v>
      </c>
      <c r="G122" s="1085" t="s">
        <v>1343</v>
      </c>
      <c r="H122" s="1105">
        <f t="shared" si="6"/>
        <v>3000</v>
      </c>
      <c r="I122" s="1145"/>
      <c r="J122" s="1105">
        <v>3000</v>
      </c>
      <c r="K122" s="1105"/>
      <c r="L122" s="1105"/>
      <c r="M122" s="111"/>
    </row>
    <row r="123" spans="2:13" ht="34.200000000000003" x14ac:dyDescent="0.2">
      <c r="B123" s="1061"/>
      <c r="C123" s="1061"/>
      <c r="D123" s="1061"/>
      <c r="E123" s="1107" t="s">
        <v>176</v>
      </c>
      <c r="F123" s="1061" t="s">
        <v>95</v>
      </c>
      <c r="G123" s="1062" t="s">
        <v>1405</v>
      </c>
      <c r="H123" s="1105">
        <f t="shared" si="6"/>
        <v>15000</v>
      </c>
      <c r="I123" s="1145"/>
      <c r="J123" s="1105">
        <v>15000</v>
      </c>
      <c r="K123" s="1105"/>
      <c r="L123" s="1105"/>
      <c r="M123" s="111"/>
    </row>
    <row r="124" spans="2:13" ht="23.4" customHeight="1" x14ac:dyDescent="0.2">
      <c r="B124" s="1061"/>
      <c r="C124" s="1061"/>
      <c r="D124" s="1061"/>
      <c r="E124" s="1107" t="s">
        <v>709</v>
      </c>
      <c r="F124" s="1061" t="s">
        <v>669</v>
      </c>
      <c r="G124" s="1062" t="s">
        <v>1166</v>
      </c>
      <c r="H124" s="1105">
        <f t="shared" si="6"/>
        <v>50000</v>
      </c>
      <c r="I124" s="1145"/>
      <c r="J124" s="1105">
        <v>50000</v>
      </c>
      <c r="K124" s="1105"/>
      <c r="L124" s="1105"/>
      <c r="M124" s="111"/>
    </row>
    <row r="125" spans="2:13" x14ac:dyDescent="0.2">
      <c r="B125" s="1061"/>
      <c r="C125" s="1061"/>
      <c r="D125" s="1061"/>
      <c r="E125" s="1107" t="s">
        <v>709</v>
      </c>
      <c r="F125" s="1061" t="s">
        <v>669</v>
      </c>
      <c r="G125" s="1062" t="s">
        <v>1165</v>
      </c>
      <c r="H125" s="1105">
        <f t="shared" si="6"/>
        <v>28000</v>
      </c>
      <c r="I125" s="1145"/>
      <c r="J125" s="1105">
        <v>28000</v>
      </c>
      <c r="K125" s="1105"/>
      <c r="L125" s="1105"/>
      <c r="M125" s="111"/>
    </row>
    <row r="126" spans="2:13" x14ac:dyDescent="0.2">
      <c r="B126" s="1061"/>
      <c r="C126" s="1061"/>
      <c r="D126" s="1061"/>
      <c r="E126" s="1107" t="s">
        <v>171</v>
      </c>
      <c r="F126" s="1061" t="s">
        <v>1384</v>
      </c>
      <c r="G126" s="1062" t="s">
        <v>1489</v>
      </c>
      <c r="H126" s="1105">
        <f t="shared" si="6"/>
        <v>49080</v>
      </c>
      <c r="I126" s="1145"/>
      <c r="J126" s="1105">
        <v>49080</v>
      </c>
      <c r="K126" s="1105"/>
      <c r="L126" s="1105"/>
      <c r="M126" s="111"/>
    </row>
    <row r="127" spans="2:13" x14ac:dyDescent="0.2">
      <c r="B127" s="1061"/>
      <c r="C127" s="1061"/>
      <c r="D127" s="1061"/>
      <c r="E127" s="1107" t="s">
        <v>171</v>
      </c>
      <c r="F127" s="1061" t="s">
        <v>1384</v>
      </c>
      <c r="G127" s="1062" t="s">
        <v>161</v>
      </c>
      <c r="H127" s="1514">
        <f>SUM(J127:L128)</f>
        <v>60595</v>
      </c>
      <c r="I127" s="1486"/>
      <c r="J127" s="1522">
        <v>60595</v>
      </c>
      <c r="K127" s="1517"/>
      <c r="L127" s="1517"/>
      <c r="M127" s="111"/>
    </row>
    <row r="128" spans="2:13" ht="22.8" x14ac:dyDescent="0.2">
      <c r="B128" s="1061"/>
      <c r="C128" s="1061"/>
      <c r="D128" s="1061"/>
      <c r="E128" s="1107" t="s">
        <v>171</v>
      </c>
      <c r="F128" s="1061" t="s">
        <v>1384</v>
      </c>
      <c r="G128" s="1062" t="s">
        <v>352</v>
      </c>
      <c r="H128" s="1515"/>
      <c r="I128" s="1486"/>
      <c r="J128" s="1522"/>
      <c r="K128" s="1518"/>
      <c r="L128" s="1518"/>
      <c r="M128" s="111"/>
    </row>
    <row r="129" spans="2:13" x14ac:dyDescent="0.2">
      <c r="B129" s="1061"/>
      <c r="C129" s="1061"/>
      <c r="D129" s="1061"/>
      <c r="E129" s="1107" t="s">
        <v>1102</v>
      </c>
      <c r="F129" s="1061" t="s">
        <v>1391</v>
      </c>
      <c r="G129" s="1069" t="s">
        <v>1391</v>
      </c>
      <c r="H129" s="1105">
        <f t="shared" ref="H129:H136" si="7">SUM(J129:L129)</f>
        <v>123185.60000000001</v>
      </c>
      <c r="I129" s="1145"/>
      <c r="J129" s="1105">
        <v>123185.60000000001</v>
      </c>
      <c r="K129" s="1105"/>
      <c r="L129" s="1105"/>
      <c r="M129" s="111"/>
    </row>
    <row r="130" spans="2:13" x14ac:dyDescent="0.2">
      <c r="B130" s="1061"/>
      <c r="C130" s="1061"/>
      <c r="D130" s="1061"/>
      <c r="E130" s="1107" t="s">
        <v>701</v>
      </c>
      <c r="F130" s="1061" t="s">
        <v>89</v>
      </c>
      <c r="G130" s="1061" t="s">
        <v>1387</v>
      </c>
      <c r="H130" s="1105">
        <f t="shared" si="7"/>
        <v>9000</v>
      </c>
      <c r="I130" s="1145"/>
      <c r="J130" s="1105">
        <v>9000</v>
      </c>
      <c r="K130" s="1105"/>
      <c r="L130" s="1105"/>
    </row>
    <row r="131" spans="2:13" ht="22.8" x14ac:dyDescent="0.2">
      <c r="B131" s="1061"/>
      <c r="C131" s="1061"/>
      <c r="D131" s="1061"/>
      <c r="E131" s="1107" t="s">
        <v>701</v>
      </c>
      <c r="F131" s="1061" t="s">
        <v>89</v>
      </c>
      <c r="G131" s="1062" t="s">
        <v>1388</v>
      </c>
      <c r="H131" s="1105">
        <f t="shared" si="7"/>
        <v>85000</v>
      </c>
      <c r="I131" s="1145"/>
      <c r="J131" s="1105">
        <v>85000</v>
      </c>
      <c r="K131" s="1105"/>
      <c r="L131" s="1105"/>
    </row>
    <row r="132" spans="2:13" x14ac:dyDescent="0.2">
      <c r="B132" s="1071">
        <f>500*4*10</f>
        <v>20000</v>
      </c>
      <c r="C132" s="1130" t="s">
        <v>1609</v>
      </c>
      <c r="D132" s="1061"/>
      <c r="E132" s="1107" t="s">
        <v>701</v>
      </c>
      <c r="F132" s="1061" t="s">
        <v>89</v>
      </c>
      <c r="G132" s="1062" t="s">
        <v>1552</v>
      </c>
      <c r="H132" s="1105">
        <f t="shared" si="7"/>
        <v>15000</v>
      </c>
      <c r="I132" s="1145"/>
      <c r="J132" s="1105">
        <v>15000</v>
      </c>
      <c r="K132" s="1105"/>
      <c r="L132" s="1105"/>
    </row>
    <row r="133" spans="2:13" x14ac:dyDescent="0.2">
      <c r="B133" s="1067"/>
      <c r="C133" s="1067"/>
      <c r="D133" s="1067"/>
      <c r="E133" s="1067"/>
      <c r="F133" s="1067"/>
      <c r="G133" s="1070" t="s">
        <v>1389</v>
      </c>
      <c r="H133" s="1487"/>
      <c r="I133" s="1488"/>
      <c r="J133" s="1489"/>
      <c r="K133" s="1489"/>
      <c r="L133" s="1489"/>
    </row>
    <row r="134" spans="2:13" x14ac:dyDescent="0.2">
      <c r="B134" s="1061"/>
      <c r="C134" s="1061"/>
      <c r="D134" s="1061"/>
      <c r="E134" s="1107" t="s">
        <v>701</v>
      </c>
      <c r="F134" s="1061" t="s">
        <v>89</v>
      </c>
      <c r="G134" s="1068" t="s">
        <v>232</v>
      </c>
      <c r="H134" s="1105">
        <f t="shared" si="7"/>
        <v>3000</v>
      </c>
      <c r="I134" s="1145"/>
      <c r="J134" s="1105">
        <v>3000</v>
      </c>
      <c r="K134" s="1105"/>
      <c r="L134" s="1105"/>
    </row>
    <row r="135" spans="2:13" x14ac:dyDescent="0.2">
      <c r="B135" s="1061"/>
      <c r="C135" s="1061"/>
      <c r="D135" s="1061"/>
      <c r="E135" s="1107" t="s">
        <v>701</v>
      </c>
      <c r="F135" s="1061" t="s">
        <v>89</v>
      </c>
      <c r="G135" s="1069" t="s">
        <v>372</v>
      </c>
      <c r="H135" s="1105">
        <f t="shared" si="7"/>
        <v>2500</v>
      </c>
      <c r="I135" s="1145"/>
      <c r="J135" s="1105">
        <v>2500</v>
      </c>
      <c r="K135" s="1105"/>
      <c r="L135" s="1105"/>
    </row>
    <row r="136" spans="2:13" x14ac:dyDescent="0.2">
      <c r="B136" s="1061"/>
      <c r="C136" s="1061"/>
      <c r="D136" s="1061"/>
      <c r="E136" s="1107" t="s">
        <v>701</v>
      </c>
      <c r="F136" s="1061" t="s">
        <v>89</v>
      </c>
      <c r="G136" s="1069" t="s">
        <v>279</v>
      </c>
      <c r="H136" s="1105">
        <f t="shared" si="7"/>
        <v>10000</v>
      </c>
      <c r="I136" s="1145"/>
      <c r="J136" s="1105">
        <v>10000</v>
      </c>
      <c r="K136" s="1105"/>
      <c r="L136" s="1105"/>
    </row>
    <row r="137" spans="2:13" x14ac:dyDescent="0.2">
      <c r="B137" s="1061"/>
      <c r="C137" s="1061"/>
      <c r="D137" s="1061"/>
      <c r="E137" s="1107" t="s">
        <v>701</v>
      </c>
      <c r="F137" s="1061" t="s">
        <v>89</v>
      </c>
      <c r="G137" s="1069" t="s">
        <v>311</v>
      </c>
      <c r="H137" s="1483">
        <f>SUM(J137:L137)</f>
        <v>10000</v>
      </c>
      <c r="I137" s="1145"/>
      <c r="J137" s="1105">
        <v>10000</v>
      </c>
      <c r="K137" s="1105"/>
      <c r="L137" s="1105"/>
    </row>
    <row r="138" spans="2:13" x14ac:dyDescent="0.2">
      <c r="B138" s="1061"/>
      <c r="C138" s="1061"/>
      <c r="D138" s="1061"/>
      <c r="E138" s="1107" t="s">
        <v>701</v>
      </c>
      <c r="F138" s="1061" t="s">
        <v>89</v>
      </c>
      <c r="G138" s="1069" t="s">
        <v>233</v>
      </c>
      <c r="H138" s="1483">
        <f>SUM(J138:L138)</f>
        <v>5000</v>
      </c>
      <c r="I138" s="1145"/>
      <c r="J138" s="1105">
        <v>5000</v>
      </c>
      <c r="K138" s="1105"/>
      <c r="L138" s="1105"/>
    </row>
    <row r="139" spans="2:13" x14ac:dyDescent="0.2">
      <c r="B139" s="1067"/>
      <c r="C139" s="1067"/>
      <c r="D139" s="1067"/>
      <c r="E139" s="1067"/>
      <c r="F139" s="1067"/>
      <c r="G139" s="1070" t="s">
        <v>312</v>
      </c>
      <c r="H139" s="1487"/>
      <c r="I139" s="1488"/>
      <c r="J139" s="1489"/>
      <c r="K139" s="1489"/>
      <c r="L139" s="1489"/>
    </row>
    <row r="140" spans="2:13" x14ac:dyDescent="0.2">
      <c r="B140" s="1061"/>
      <c r="C140" s="1061"/>
      <c r="D140" s="1061"/>
      <c r="E140" s="1107" t="s">
        <v>701</v>
      </c>
      <c r="F140" s="1061" t="s">
        <v>89</v>
      </c>
      <c r="G140" s="1068" t="s">
        <v>797</v>
      </c>
      <c r="H140" s="1483">
        <f t="shared" ref="H140:H167" si="8">SUM(J140:L140)</f>
        <v>200</v>
      </c>
      <c r="I140" s="1145"/>
      <c r="J140" s="1105">
        <v>200</v>
      </c>
      <c r="K140" s="1105"/>
      <c r="L140" s="1105"/>
    </row>
    <row r="141" spans="2:13" x14ac:dyDescent="0.2">
      <c r="B141" s="1061"/>
      <c r="C141" s="1061"/>
      <c r="D141" s="1061"/>
      <c r="E141" s="1107" t="s">
        <v>701</v>
      </c>
      <c r="F141" s="1061" t="s">
        <v>89</v>
      </c>
      <c r="G141" s="1068" t="s">
        <v>798</v>
      </c>
      <c r="H141" s="1483">
        <f t="shared" si="8"/>
        <v>200</v>
      </c>
      <c r="I141" s="1145"/>
      <c r="J141" s="1105">
        <v>200</v>
      </c>
      <c r="K141" s="1105"/>
      <c r="L141" s="1105"/>
    </row>
    <row r="142" spans="2:13" x14ac:dyDescent="0.2">
      <c r="B142" s="1061"/>
      <c r="C142" s="1061"/>
      <c r="D142" s="1061"/>
      <c r="E142" s="1107" t="s">
        <v>701</v>
      </c>
      <c r="F142" s="1061" t="s">
        <v>89</v>
      </c>
      <c r="G142" s="1068" t="s">
        <v>799</v>
      </c>
      <c r="H142" s="1483">
        <f t="shared" si="8"/>
        <v>200</v>
      </c>
      <c r="I142" s="1145"/>
      <c r="J142" s="1105">
        <v>200</v>
      </c>
      <c r="K142" s="1105"/>
      <c r="L142" s="1105"/>
    </row>
    <row r="143" spans="2:13" x14ac:dyDescent="0.2">
      <c r="B143" s="1061"/>
      <c r="C143" s="1061"/>
      <c r="D143" s="1061"/>
      <c r="E143" s="1107" t="s">
        <v>701</v>
      </c>
      <c r="F143" s="1061" t="s">
        <v>89</v>
      </c>
      <c r="G143" s="1068" t="s">
        <v>800</v>
      </c>
      <c r="H143" s="1483">
        <f t="shared" si="8"/>
        <v>200</v>
      </c>
      <c r="I143" s="1145"/>
      <c r="J143" s="1105">
        <v>200</v>
      </c>
      <c r="K143" s="1105"/>
      <c r="L143" s="1105"/>
    </row>
    <row r="144" spans="2:13" x14ac:dyDescent="0.2">
      <c r="B144" s="1061"/>
      <c r="C144" s="1061"/>
      <c r="D144" s="1061"/>
      <c r="E144" s="1107" t="s">
        <v>701</v>
      </c>
      <c r="F144" s="1061" t="s">
        <v>89</v>
      </c>
      <c r="G144" s="1068" t="s">
        <v>801</v>
      </c>
      <c r="H144" s="1483">
        <f t="shared" si="8"/>
        <v>200</v>
      </c>
      <c r="I144" s="1145"/>
      <c r="J144" s="1105">
        <v>200</v>
      </c>
      <c r="K144" s="1105"/>
      <c r="L144" s="1105"/>
    </row>
    <row r="145" spans="2:12" x14ac:dyDescent="0.2">
      <c r="B145" s="1061"/>
      <c r="C145" s="1061"/>
      <c r="D145" s="1061"/>
      <c r="E145" s="1107" t="s">
        <v>701</v>
      </c>
      <c r="F145" s="1061" t="s">
        <v>89</v>
      </c>
      <c r="G145" s="1068" t="s">
        <v>802</v>
      </c>
      <c r="H145" s="1483">
        <f t="shared" si="8"/>
        <v>300</v>
      </c>
      <c r="I145" s="1145"/>
      <c r="J145" s="1105">
        <v>300</v>
      </c>
      <c r="K145" s="1105"/>
      <c r="L145" s="1105"/>
    </row>
    <row r="146" spans="2:12" x14ac:dyDescent="0.2">
      <c r="B146" s="1061"/>
      <c r="C146" s="1061"/>
      <c r="D146" s="1061"/>
      <c r="E146" s="1107" t="s">
        <v>701</v>
      </c>
      <c r="F146" s="1061" t="s">
        <v>89</v>
      </c>
      <c r="G146" s="1068" t="s">
        <v>803</v>
      </c>
      <c r="H146" s="1483">
        <f t="shared" si="8"/>
        <v>300</v>
      </c>
      <c r="I146" s="1145"/>
      <c r="J146" s="1105">
        <v>300</v>
      </c>
      <c r="K146" s="1105"/>
      <c r="L146" s="1105"/>
    </row>
    <row r="147" spans="2:12" x14ac:dyDescent="0.2">
      <c r="B147" s="1061"/>
      <c r="C147" s="1061"/>
      <c r="D147" s="1061"/>
      <c r="E147" s="1107" t="s">
        <v>701</v>
      </c>
      <c r="F147" s="1061" t="s">
        <v>89</v>
      </c>
      <c r="G147" s="1068" t="s">
        <v>804</v>
      </c>
      <c r="H147" s="1483">
        <f t="shared" si="8"/>
        <v>200</v>
      </c>
      <c r="I147" s="1145"/>
      <c r="J147" s="1105">
        <v>200</v>
      </c>
      <c r="K147" s="1105"/>
      <c r="L147" s="1105"/>
    </row>
    <row r="148" spans="2:12" x14ac:dyDescent="0.2">
      <c r="B148" s="1061"/>
      <c r="C148" s="1061"/>
      <c r="D148" s="1061"/>
      <c r="E148" s="1107" t="s">
        <v>701</v>
      </c>
      <c r="F148" s="1061" t="s">
        <v>89</v>
      </c>
      <c r="G148" s="1068" t="s">
        <v>805</v>
      </c>
      <c r="H148" s="1483">
        <f t="shared" si="8"/>
        <v>1500</v>
      </c>
      <c r="I148" s="1145"/>
      <c r="J148" s="1105">
        <v>1500</v>
      </c>
      <c r="K148" s="1105"/>
      <c r="L148" s="1105"/>
    </row>
    <row r="149" spans="2:12" ht="23.4" customHeight="1" x14ac:dyDescent="0.2">
      <c r="B149" s="1061"/>
      <c r="C149" s="1061"/>
      <c r="D149" s="1061"/>
      <c r="E149" s="1107" t="s">
        <v>701</v>
      </c>
      <c r="F149" s="1061" t="s">
        <v>89</v>
      </c>
      <c r="G149" s="1069" t="s">
        <v>806</v>
      </c>
      <c r="H149" s="1483">
        <f t="shared" si="8"/>
        <v>600</v>
      </c>
      <c r="I149" s="1145"/>
      <c r="J149" s="1105">
        <v>600</v>
      </c>
      <c r="K149" s="1105"/>
      <c r="L149" s="1105"/>
    </row>
    <row r="150" spans="2:12" ht="22.8" x14ac:dyDescent="0.2">
      <c r="B150" s="1061"/>
      <c r="C150" s="1061"/>
      <c r="D150" s="1061"/>
      <c r="E150" s="1107" t="s">
        <v>701</v>
      </c>
      <c r="F150" s="1061" t="s">
        <v>89</v>
      </c>
      <c r="G150" s="1069" t="s">
        <v>807</v>
      </c>
      <c r="H150" s="1483">
        <f t="shared" si="8"/>
        <v>1500</v>
      </c>
      <c r="I150" s="1145"/>
      <c r="J150" s="1105">
        <v>1500</v>
      </c>
      <c r="K150" s="1105"/>
      <c r="L150" s="1105"/>
    </row>
    <row r="151" spans="2:12" x14ac:dyDescent="0.2">
      <c r="B151" s="1061"/>
      <c r="C151" s="1061"/>
      <c r="D151" s="1061"/>
      <c r="E151" s="1107" t="s">
        <v>694</v>
      </c>
      <c r="F151" s="1061" t="s">
        <v>386</v>
      </c>
      <c r="G151" s="1062" t="s">
        <v>1387</v>
      </c>
      <c r="H151" s="1105">
        <f>SUM(J151:L151)</f>
        <v>8000</v>
      </c>
      <c r="I151" s="1145"/>
      <c r="J151" s="1105">
        <v>8000</v>
      </c>
      <c r="K151" s="1105"/>
      <c r="L151" s="1105"/>
    </row>
    <row r="152" spans="2:12" ht="22.8" x14ac:dyDescent="0.2">
      <c r="B152" s="1061"/>
      <c r="C152" s="1061"/>
      <c r="D152" s="1061"/>
      <c r="E152" s="1107" t="s">
        <v>694</v>
      </c>
      <c r="F152" s="1061" t="s">
        <v>386</v>
      </c>
      <c r="G152" s="1062" t="s">
        <v>940</v>
      </c>
      <c r="H152" s="1105">
        <f t="shared" si="8"/>
        <v>15000</v>
      </c>
      <c r="I152" s="1145"/>
      <c r="J152" s="1105">
        <v>15000</v>
      </c>
      <c r="K152" s="1105"/>
      <c r="L152" s="1105"/>
    </row>
    <row r="153" spans="2:12" x14ac:dyDescent="0.2">
      <c r="B153" s="1061"/>
      <c r="C153" s="1061"/>
      <c r="D153" s="1061"/>
      <c r="E153" s="1107" t="s">
        <v>694</v>
      </c>
      <c r="F153" s="1061" t="s">
        <v>386</v>
      </c>
      <c r="G153" s="1062" t="s">
        <v>941</v>
      </c>
      <c r="H153" s="1105">
        <f t="shared" si="8"/>
        <v>1500</v>
      </c>
      <c r="I153" s="1145"/>
      <c r="J153" s="1105">
        <v>1500</v>
      </c>
      <c r="K153" s="1105"/>
      <c r="L153" s="1105"/>
    </row>
    <row r="154" spans="2:12" x14ac:dyDescent="0.2">
      <c r="B154" s="1061"/>
      <c r="C154" s="1061"/>
      <c r="D154" s="1061"/>
      <c r="E154" s="1107" t="s">
        <v>694</v>
      </c>
      <c r="F154" s="1061" t="s">
        <v>386</v>
      </c>
      <c r="G154" s="1062" t="s">
        <v>942</v>
      </c>
      <c r="H154" s="1105">
        <f t="shared" si="8"/>
        <v>20000</v>
      </c>
      <c r="I154" s="1145"/>
      <c r="J154" s="1105">
        <v>20000</v>
      </c>
      <c r="K154" s="1105"/>
      <c r="L154" s="1105"/>
    </row>
    <row r="155" spans="2:12" x14ac:dyDescent="0.2">
      <c r="B155" s="1061"/>
      <c r="C155" s="1061"/>
      <c r="D155" s="1061"/>
      <c r="E155" s="1107" t="s">
        <v>694</v>
      </c>
      <c r="F155" s="1061" t="s">
        <v>386</v>
      </c>
      <c r="G155" s="1062" t="s">
        <v>680</v>
      </c>
      <c r="H155" s="1105">
        <f t="shared" si="8"/>
        <v>80000</v>
      </c>
      <c r="I155" s="1145"/>
      <c r="J155" s="1105">
        <v>80000</v>
      </c>
      <c r="K155" s="1105"/>
      <c r="L155" s="1105"/>
    </row>
    <row r="156" spans="2:12" x14ac:dyDescent="0.2">
      <c r="B156" s="1130"/>
      <c r="C156" s="1061"/>
      <c r="D156" s="1061"/>
      <c r="E156" s="1107" t="s">
        <v>694</v>
      </c>
      <c r="F156" s="1061" t="s">
        <v>386</v>
      </c>
      <c r="G156" s="1062" t="s">
        <v>943</v>
      </c>
      <c r="H156" s="1105">
        <f t="shared" si="8"/>
        <v>400</v>
      </c>
      <c r="I156" s="1145"/>
      <c r="J156" s="1105">
        <v>400</v>
      </c>
      <c r="K156" s="1105"/>
      <c r="L156" s="1105"/>
    </row>
    <row r="157" spans="2:12" x14ac:dyDescent="0.2">
      <c r="B157" s="1061"/>
      <c r="C157" s="1061"/>
      <c r="D157" s="1061"/>
      <c r="E157" s="1107" t="s">
        <v>694</v>
      </c>
      <c r="F157" s="1061" t="s">
        <v>386</v>
      </c>
      <c r="G157" s="1062" t="s">
        <v>944</v>
      </c>
      <c r="H157" s="1105">
        <f t="shared" si="8"/>
        <v>2000</v>
      </c>
      <c r="I157" s="1145"/>
      <c r="J157" s="1105">
        <v>2000</v>
      </c>
      <c r="K157" s="1105"/>
      <c r="L157" s="1105"/>
    </row>
    <row r="158" spans="2:12" x14ac:dyDescent="0.2">
      <c r="B158" s="1061"/>
      <c r="C158" s="1061"/>
      <c r="D158" s="1061"/>
      <c r="E158" s="1107" t="s">
        <v>694</v>
      </c>
      <c r="F158" s="1061" t="s">
        <v>386</v>
      </c>
      <c r="G158" s="1062" t="s">
        <v>945</v>
      </c>
      <c r="H158" s="1105">
        <f t="shared" si="8"/>
        <v>300</v>
      </c>
      <c r="I158" s="1145"/>
      <c r="J158" s="1105">
        <v>300</v>
      </c>
      <c r="K158" s="1105"/>
      <c r="L158" s="1105"/>
    </row>
    <row r="159" spans="2:12" x14ac:dyDescent="0.2">
      <c r="B159" s="1061"/>
      <c r="C159" s="1061"/>
      <c r="D159" s="1061"/>
      <c r="E159" s="1107" t="s">
        <v>694</v>
      </c>
      <c r="F159" s="1061" t="s">
        <v>386</v>
      </c>
      <c r="G159" s="1062" t="s">
        <v>946</v>
      </c>
      <c r="H159" s="1105">
        <f t="shared" si="8"/>
        <v>2000</v>
      </c>
      <c r="I159" s="1145"/>
      <c r="J159" s="1105">
        <v>2000</v>
      </c>
      <c r="K159" s="1105"/>
      <c r="L159" s="1105"/>
    </row>
    <row r="160" spans="2:12" x14ac:dyDescent="0.2">
      <c r="B160" s="1061"/>
      <c r="C160" s="1061"/>
      <c r="D160" s="1061"/>
      <c r="E160" s="1107" t="s">
        <v>694</v>
      </c>
      <c r="F160" s="1061" t="s">
        <v>386</v>
      </c>
      <c r="G160" s="1062" t="s">
        <v>947</v>
      </c>
      <c r="H160" s="1105">
        <f t="shared" si="8"/>
        <v>800</v>
      </c>
      <c r="I160" s="1145"/>
      <c r="J160" s="1105">
        <v>800</v>
      </c>
      <c r="K160" s="1105"/>
      <c r="L160" s="1105"/>
    </row>
    <row r="161" spans="2:13" x14ac:dyDescent="0.2">
      <c r="B161" s="1067"/>
      <c r="C161" s="1067"/>
      <c r="D161" s="1067"/>
      <c r="E161" s="1150"/>
      <c r="F161" s="1067"/>
      <c r="G161" s="1070" t="s">
        <v>165</v>
      </c>
      <c r="H161" s="1487"/>
      <c r="I161" s="1488"/>
      <c r="J161" s="1489"/>
      <c r="K161" s="1489"/>
      <c r="L161" s="1489"/>
    </row>
    <row r="162" spans="2:13" x14ac:dyDescent="0.2">
      <c r="B162" s="1061"/>
      <c r="C162" s="1061"/>
      <c r="D162" s="1061"/>
      <c r="E162" s="1107" t="s">
        <v>1102</v>
      </c>
      <c r="F162" s="1061" t="s">
        <v>1391</v>
      </c>
      <c r="G162" s="1069" t="s">
        <v>1085</v>
      </c>
      <c r="H162" s="1105">
        <f t="shared" si="8"/>
        <v>1320</v>
      </c>
      <c r="I162" s="1145"/>
      <c r="J162" s="1105">
        <v>1320</v>
      </c>
      <c r="K162" s="1105"/>
      <c r="L162" s="1105"/>
      <c r="M162" s="111"/>
    </row>
    <row r="163" spans="2:13" ht="23.4" x14ac:dyDescent="0.25">
      <c r="B163" s="1061"/>
      <c r="C163" s="1147"/>
      <c r="D163" s="1061"/>
      <c r="E163" s="1107" t="s">
        <v>1102</v>
      </c>
      <c r="F163" s="1061" t="s">
        <v>1391</v>
      </c>
      <c r="G163" s="1069" t="s">
        <v>1087</v>
      </c>
      <c r="H163" s="1105">
        <f t="shared" si="8"/>
        <v>1640</v>
      </c>
      <c r="I163" s="1145"/>
      <c r="J163" s="1105">
        <v>1640</v>
      </c>
      <c r="K163" s="1105"/>
      <c r="L163" s="1105"/>
      <c r="M163" s="111"/>
    </row>
    <row r="164" spans="2:13" x14ac:dyDescent="0.2">
      <c r="B164" s="1061"/>
      <c r="C164" s="1061"/>
      <c r="D164" s="1061"/>
      <c r="E164" s="1107" t="s">
        <v>1102</v>
      </c>
      <c r="F164" s="1061" t="s">
        <v>1391</v>
      </c>
      <c r="G164" s="1069" t="s">
        <v>1089</v>
      </c>
      <c r="H164" s="1105">
        <f t="shared" si="8"/>
        <v>1500</v>
      </c>
      <c r="I164" s="1145"/>
      <c r="J164" s="1105">
        <v>1500</v>
      </c>
      <c r="K164" s="1105"/>
      <c r="L164" s="1105"/>
      <c r="M164" s="111"/>
    </row>
    <row r="165" spans="2:13" x14ac:dyDescent="0.2">
      <c r="B165" s="1061"/>
      <c r="C165" s="1061"/>
      <c r="D165" s="1061"/>
      <c r="E165" s="1107" t="s">
        <v>1102</v>
      </c>
      <c r="F165" s="1061" t="s">
        <v>1391</v>
      </c>
      <c r="G165" s="1069" t="s">
        <v>1092</v>
      </c>
      <c r="H165" s="1105">
        <f t="shared" si="8"/>
        <v>3500</v>
      </c>
      <c r="I165" s="1145"/>
      <c r="J165" s="1105">
        <v>3500</v>
      </c>
      <c r="K165" s="1105"/>
      <c r="L165" s="1105"/>
      <c r="M165" s="111"/>
    </row>
    <row r="166" spans="2:13" x14ac:dyDescent="0.2">
      <c r="B166" s="1061"/>
      <c r="C166" s="1061"/>
      <c r="D166" s="1061"/>
      <c r="E166" s="1107" t="s">
        <v>1102</v>
      </c>
      <c r="F166" s="1061" t="s">
        <v>1391</v>
      </c>
      <c r="G166" s="1069" t="s">
        <v>1094</v>
      </c>
      <c r="H166" s="1105">
        <f t="shared" si="8"/>
        <v>2000</v>
      </c>
      <c r="I166" s="1145"/>
      <c r="J166" s="1105">
        <v>2000</v>
      </c>
      <c r="K166" s="1105"/>
      <c r="L166" s="1105"/>
      <c r="M166" s="111"/>
    </row>
    <row r="167" spans="2:13" x14ac:dyDescent="0.2">
      <c r="B167" s="1061"/>
      <c r="C167" s="1061"/>
      <c r="D167" s="1061"/>
      <c r="E167" s="1107" t="s">
        <v>1102</v>
      </c>
      <c r="F167" s="1061" t="s">
        <v>1391</v>
      </c>
      <c r="G167" s="1069" t="s">
        <v>1096</v>
      </c>
      <c r="H167" s="1105">
        <f t="shared" si="8"/>
        <v>2000</v>
      </c>
      <c r="I167" s="1145"/>
      <c r="J167" s="1105">
        <v>2000</v>
      </c>
      <c r="K167" s="1105"/>
      <c r="L167" s="1105"/>
      <c r="M167" s="111"/>
    </row>
    <row r="168" spans="2:13" x14ac:dyDescent="0.2">
      <c r="B168" s="1067"/>
      <c r="C168" s="1067"/>
      <c r="D168" s="1067"/>
      <c r="E168" s="1150"/>
      <c r="F168" s="1067"/>
      <c r="G168" s="1070" t="s">
        <v>1145</v>
      </c>
      <c r="H168" s="1487"/>
      <c r="I168" s="1488"/>
      <c r="J168" s="1489"/>
      <c r="K168" s="1489"/>
      <c r="L168" s="1489"/>
      <c r="M168" s="111"/>
    </row>
    <row r="169" spans="2:13" x14ac:dyDescent="0.2">
      <c r="B169" s="1061"/>
      <c r="C169" s="1061"/>
      <c r="D169" s="1061"/>
      <c r="E169" s="1107" t="s">
        <v>174</v>
      </c>
      <c r="F169" s="1061" t="s">
        <v>166</v>
      </c>
      <c r="G169" s="1069" t="s">
        <v>1146</v>
      </c>
      <c r="H169" s="1129">
        <f>SUM(J169:L169)</f>
        <v>400</v>
      </c>
      <c r="I169" s="1145"/>
      <c r="J169" s="1129">
        <v>400</v>
      </c>
      <c r="K169" s="1105"/>
      <c r="L169" s="1105"/>
    </row>
    <row r="170" spans="2:13" x14ac:dyDescent="0.2">
      <c r="B170" s="1061"/>
      <c r="C170" s="1061"/>
      <c r="D170" s="1061"/>
      <c r="E170" s="1107" t="s">
        <v>174</v>
      </c>
      <c r="F170" s="1061" t="s">
        <v>166</v>
      </c>
      <c r="G170" s="1069" t="s">
        <v>1147</v>
      </c>
      <c r="H170" s="1129">
        <f>SUM(J170:L170)</f>
        <v>1400</v>
      </c>
      <c r="I170" s="1145"/>
      <c r="J170" s="1129">
        <v>1400</v>
      </c>
      <c r="K170" s="1105"/>
      <c r="L170" s="1105"/>
    </row>
    <row r="171" spans="2:13" x14ac:dyDescent="0.2">
      <c r="B171" s="1061"/>
      <c r="C171" s="1061"/>
      <c r="D171" s="1061"/>
      <c r="E171" s="1107" t="s">
        <v>174</v>
      </c>
      <c r="F171" s="1061" t="s">
        <v>166</v>
      </c>
      <c r="G171" s="1069" t="s">
        <v>1148</v>
      </c>
      <c r="H171" s="1129">
        <f>SUM(J171:L171)</f>
        <v>1400</v>
      </c>
      <c r="I171" s="1145"/>
      <c r="J171" s="1129">
        <v>1400</v>
      </c>
      <c r="K171" s="1105"/>
      <c r="L171" s="1105"/>
    </row>
    <row r="172" spans="2:13" x14ac:dyDescent="0.2">
      <c r="B172" s="1061"/>
      <c r="C172" s="1061"/>
      <c r="D172" s="1061"/>
      <c r="E172" s="1107" t="s">
        <v>174</v>
      </c>
      <c r="F172" s="1061" t="s">
        <v>166</v>
      </c>
      <c r="G172" s="1069" t="s">
        <v>1149</v>
      </c>
      <c r="H172" s="1129">
        <f>SUM(J172:L172)</f>
        <v>300</v>
      </c>
      <c r="I172" s="1145"/>
      <c r="J172" s="1129">
        <v>300</v>
      </c>
      <c r="K172" s="1105"/>
      <c r="L172" s="1105"/>
    </row>
    <row r="173" spans="2:13" ht="22.8" x14ac:dyDescent="0.2">
      <c r="B173" s="1061"/>
      <c r="C173" s="1061"/>
      <c r="D173" s="1061"/>
      <c r="E173" s="1107" t="s">
        <v>174</v>
      </c>
      <c r="F173" s="1061" t="s">
        <v>166</v>
      </c>
      <c r="G173" s="1069" t="s">
        <v>1150</v>
      </c>
      <c r="H173" s="1129">
        <f>SUM(J173:L173)</f>
        <v>400</v>
      </c>
      <c r="I173" s="1145"/>
      <c r="J173" s="1129">
        <v>400</v>
      </c>
      <c r="K173" s="1105"/>
      <c r="L173" s="1105"/>
    </row>
    <row r="174" spans="2:13" ht="22.8" x14ac:dyDescent="0.2">
      <c r="B174" s="1061"/>
      <c r="C174" s="1061"/>
      <c r="D174" s="1061"/>
      <c r="E174" s="1107">
        <v>1010</v>
      </c>
      <c r="F174" s="1061" t="s">
        <v>95</v>
      </c>
      <c r="G174" s="1069" t="s">
        <v>1665</v>
      </c>
      <c r="H174" s="1129">
        <f t="shared" ref="H174:H177" si="9">SUM(J174:L174)</f>
        <v>0</v>
      </c>
      <c r="I174" s="1145"/>
      <c r="J174" s="1129">
        <f>102000-102000</f>
        <v>0</v>
      </c>
      <c r="K174" s="1105"/>
      <c r="L174" s="1105"/>
    </row>
    <row r="175" spans="2:13" x14ac:dyDescent="0.2">
      <c r="B175" s="1061"/>
      <c r="C175" s="1061"/>
      <c r="D175" s="1061"/>
      <c r="E175" s="1107">
        <v>1010</v>
      </c>
      <c r="F175" s="1061" t="s">
        <v>95</v>
      </c>
      <c r="G175" s="1069" t="s">
        <v>1666</v>
      </c>
      <c r="H175" s="1129">
        <f t="shared" si="9"/>
        <v>0</v>
      </c>
      <c r="I175" s="1145"/>
      <c r="J175" s="1129">
        <f>72000-72000</f>
        <v>0</v>
      </c>
      <c r="K175" s="1105"/>
      <c r="L175" s="1105"/>
    </row>
    <row r="176" spans="2:13" ht="22.8" x14ac:dyDescent="0.2">
      <c r="B176" s="1061"/>
      <c r="C176" s="1061"/>
      <c r="D176" s="1061"/>
      <c r="E176" s="1107">
        <v>1010</v>
      </c>
      <c r="F176" s="1061" t="s">
        <v>95</v>
      </c>
      <c r="G176" s="1069" t="s">
        <v>1667</v>
      </c>
      <c r="H176" s="1129">
        <f t="shared" si="9"/>
        <v>0</v>
      </c>
      <c r="I176" s="1145"/>
      <c r="J176" s="1129">
        <f>50000-50000</f>
        <v>0</v>
      </c>
      <c r="K176" s="1105"/>
      <c r="L176" s="1105"/>
    </row>
    <row r="177" spans="2:14" x14ac:dyDescent="0.2">
      <c r="B177" s="1061"/>
      <c r="C177" s="1061"/>
      <c r="D177" s="1061"/>
      <c r="E177" s="1107">
        <v>1010</v>
      </c>
      <c r="F177" s="1061" t="s">
        <v>95</v>
      </c>
      <c r="G177" s="1069" t="s">
        <v>1668</v>
      </c>
      <c r="H177" s="1129">
        <f t="shared" si="9"/>
        <v>180000</v>
      </c>
      <c r="I177" s="1145"/>
      <c r="J177" s="1129">
        <f>1000*20*9</f>
        <v>180000</v>
      </c>
      <c r="K177" s="1105"/>
      <c r="L177" s="1105"/>
    </row>
    <row r="178" spans="2:14" x14ac:dyDescent="0.2">
      <c r="B178" s="1061"/>
      <c r="C178" s="1062"/>
      <c r="D178" s="1062"/>
      <c r="E178" s="1106" t="s">
        <v>697</v>
      </c>
      <c r="F178" s="1061" t="s">
        <v>1392</v>
      </c>
      <c r="G178" s="1062"/>
      <c r="H178" s="1129"/>
      <c r="I178" s="1484"/>
      <c r="J178" s="1483"/>
      <c r="K178" s="1105"/>
      <c r="L178" s="1483"/>
    </row>
    <row r="179" spans="2:14" ht="12" x14ac:dyDescent="0.25">
      <c r="C179" s="279"/>
      <c r="D179" s="279"/>
      <c r="E179" s="1066"/>
      <c r="F179" s="1066"/>
      <c r="G179" s="1074" t="s">
        <v>1571</v>
      </c>
      <c r="H179" s="1490">
        <f>SUM(H83:H178)</f>
        <v>4320382.0999999996</v>
      </c>
      <c r="I179" s="1491"/>
      <c r="J179" s="1490">
        <f t="shared" ref="J179:L179" si="10">SUM(J83:J178)</f>
        <v>2224131.1</v>
      </c>
      <c r="K179" s="1490">
        <f>SUM(K83:K178)</f>
        <v>695984</v>
      </c>
      <c r="L179" s="1490">
        <f t="shared" si="10"/>
        <v>1400267</v>
      </c>
      <c r="N179" s="111"/>
    </row>
    <row r="180" spans="2:14" ht="12" x14ac:dyDescent="0.25">
      <c r="E180" s="106" t="s">
        <v>1627</v>
      </c>
      <c r="G180" s="109" t="s">
        <v>1658</v>
      </c>
      <c r="H180" s="464"/>
      <c r="I180" s="1145"/>
      <c r="J180" s="464"/>
      <c r="K180" s="464"/>
      <c r="L180" s="464"/>
      <c r="M180" s="111"/>
    </row>
    <row r="181" spans="2:14" ht="12" x14ac:dyDescent="0.25">
      <c r="B181" s="1510" t="s">
        <v>389</v>
      </c>
      <c r="C181" s="1510" t="s">
        <v>290</v>
      </c>
      <c r="D181" s="1510" t="s">
        <v>291</v>
      </c>
      <c r="E181" s="1510" t="s">
        <v>1408</v>
      </c>
      <c r="F181" s="1510" t="s">
        <v>1363</v>
      </c>
      <c r="G181" s="1511" t="s">
        <v>1364</v>
      </c>
      <c r="H181" s="1513" t="s">
        <v>650</v>
      </c>
      <c r="I181" s="1482"/>
      <c r="J181" s="1509" t="s">
        <v>1373</v>
      </c>
      <c r="K181" s="1509"/>
      <c r="L181" s="1509"/>
    </row>
    <row r="182" spans="2:14" ht="24" x14ac:dyDescent="0.25">
      <c r="B182" s="1510"/>
      <c r="C182" s="1510"/>
      <c r="D182" s="1510"/>
      <c r="E182" s="1510"/>
      <c r="F182" s="1510"/>
      <c r="G182" s="1512"/>
      <c r="H182" s="1513"/>
      <c r="I182" s="1482"/>
      <c r="J182" s="1356" t="s">
        <v>185</v>
      </c>
      <c r="K182" s="1356" t="s">
        <v>649</v>
      </c>
      <c r="L182" s="1356" t="s">
        <v>390</v>
      </c>
    </row>
    <row r="183" spans="2:14" ht="11.4" customHeight="1" x14ac:dyDescent="0.2">
      <c r="B183" s="1061"/>
      <c r="C183" s="1062"/>
      <c r="D183" s="1062"/>
      <c r="E183" s="1106" t="s">
        <v>652</v>
      </c>
      <c r="F183" s="1061" t="s">
        <v>562</v>
      </c>
      <c r="G183" s="1062" t="s">
        <v>1159</v>
      </c>
      <c r="H183" s="1483">
        <f>SUM(J183:L183)</f>
        <v>8000</v>
      </c>
      <c r="I183" s="1484"/>
      <c r="J183" s="1483">
        <v>8000</v>
      </c>
      <c r="K183" s="1483"/>
      <c r="L183" s="1483"/>
    </row>
    <row r="184" spans="2:14" ht="22.8" x14ac:dyDescent="0.2">
      <c r="B184" s="1061"/>
      <c r="C184" s="1062"/>
      <c r="D184" s="1062"/>
      <c r="E184" s="1106" t="s">
        <v>652</v>
      </c>
      <c r="F184" s="1061" t="s">
        <v>562</v>
      </c>
      <c r="G184" s="1062" t="s">
        <v>1344</v>
      </c>
      <c r="H184" s="1483">
        <f t="shared" ref="H184:H207" si="11">SUM(J184:L184)</f>
        <v>10000</v>
      </c>
      <c r="I184" s="1484"/>
      <c r="J184" s="1483">
        <v>10000</v>
      </c>
      <c r="K184" s="1483"/>
      <c r="L184" s="1483"/>
    </row>
    <row r="185" spans="2:14" x14ac:dyDescent="0.2">
      <c r="B185" s="1061"/>
      <c r="C185" s="1062"/>
      <c r="D185" s="1062"/>
      <c r="E185" s="1106" t="s">
        <v>169</v>
      </c>
      <c r="F185" s="1061" t="s">
        <v>158</v>
      </c>
      <c r="G185" s="1117" t="s">
        <v>280</v>
      </c>
      <c r="H185" s="1483">
        <f t="shared" si="11"/>
        <v>2000</v>
      </c>
      <c r="I185" s="1484"/>
      <c r="J185" s="1483">
        <v>1000</v>
      </c>
      <c r="K185" s="1483">
        <v>1000</v>
      </c>
      <c r="L185" s="1483"/>
    </row>
    <row r="186" spans="2:14" ht="34.200000000000003" x14ac:dyDescent="0.2">
      <c r="B186" s="1130" t="s">
        <v>1586</v>
      </c>
      <c r="C186" s="1061"/>
      <c r="D186" s="1061"/>
      <c r="E186" s="1107" t="s">
        <v>170</v>
      </c>
      <c r="F186" s="1061" t="s">
        <v>1365</v>
      </c>
      <c r="G186" s="1062" t="s">
        <v>1548</v>
      </c>
      <c r="H186" s="1492">
        <f t="shared" ref="H186" si="12">SUM(J186:L186)</f>
        <v>35000</v>
      </c>
      <c r="I186" s="1145"/>
      <c r="J186" s="1105">
        <f>17000+18000</f>
        <v>35000</v>
      </c>
      <c r="K186" s="1105"/>
      <c r="L186" s="1105"/>
    </row>
    <row r="187" spans="2:14" x14ac:dyDescent="0.2">
      <c r="B187" s="1061"/>
      <c r="C187" s="1061"/>
      <c r="D187" s="1061"/>
      <c r="E187" s="1107" t="s">
        <v>171</v>
      </c>
      <c r="F187" s="1061" t="s">
        <v>1384</v>
      </c>
      <c r="G187" s="1061" t="s">
        <v>609</v>
      </c>
      <c r="H187" s="1483">
        <f>SUM(J187:L187)</f>
        <v>29874.9</v>
      </c>
      <c r="I187" s="1145"/>
      <c r="J187" s="1105">
        <v>29874.9</v>
      </c>
      <c r="K187" s="1105"/>
      <c r="L187" s="1105"/>
      <c r="M187" s="111"/>
    </row>
    <row r="188" spans="2:14" x14ac:dyDescent="0.2">
      <c r="B188" s="1061"/>
      <c r="C188" s="1061"/>
      <c r="D188" s="1061"/>
      <c r="E188" s="1107" t="s">
        <v>171</v>
      </c>
      <c r="F188" s="1061" t="s">
        <v>1384</v>
      </c>
      <c r="G188" s="1061" t="s">
        <v>1283</v>
      </c>
      <c r="H188" s="1483">
        <f t="shared" si="11"/>
        <v>7048.25</v>
      </c>
      <c r="I188" s="1145"/>
      <c r="J188" s="1105">
        <v>7048.25</v>
      </c>
      <c r="K188" s="1105"/>
      <c r="L188" s="1105"/>
    </row>
    <row r="189" spans="2:14" x14ac:dyDescent="0.2">
      <c r="B189" s="1061"/>
      <c r="C189" s="1061"/>
      <c r="D189" s="1061"/>
      <c r="E189" s="1107" t="s">
        <v>171</v>
      </c>
      <c r="F189" s="1061" t="s">
        <v>1384</v>
      </c>
      <c r="G189" s="1061" t="s">
        <v>1039</v>
      </c>
      <c r="H189" s="1483">
        <f t="shared" si="11"/>
        <v>22723</v>
      </c>
      <c r="I189" s="1145"/>
      <c r="J189" s="1129">
        <v>22723</v>
      </c>
      <c r="K189" s="1105"/>
      <c r="L189" s="1105"/>
    </row>
    <row r="190" spans="2:14" ht="22.8" x14ac:dyDescent="0.2">
      <c r="B190" s="1061"/>
      <c r="C190" s="1061"/>
      <c r="D190" s="1061"/>
      <c r="E190" s="1107" t="s">
        <v>701</v>
      </c>
      <c r="F190" s="1061" t="s">
        <v>89</v>
      </c>
      <c r="G190" s="1062" t="s">
        <v>1587</v>
      </c>
      <c r="H190" s="1483">
        <f t="shared" si="11"/>
        <v>20000</v>
      </c>
      <c r="I190" s="1145"/>
      <c r="J190" s="1105">
        <v>20000</v>
      </c>
      <c r="K190" s="1105"/>
      <c r="L190" s="1105"/>
    </row>
    <row r="191" spans="2:14" x14ac:dyDescent="0.2">
      <c r="B191" s="1067"/>
      <c r="C191" s="1067"/>
      <c r="D191" s="1067"/>
      <c r="E191" s="1495"/>
      <c r="F191" s="1067"/>
      <c r="G191" s="1070" t="s">
        <v>165</v>
      </c>
      <c r="H191" s="1487"/>
      <c r="I191" s="1488"/>
      <c r="J191" s="1489"/>
      <c r="K191" s="1489"/>
      <c r="L191" s="1489"/>
    </row>
    <row r="192" spans="2:14" x14ac:dyDescent="0.2">
      <c r="B192" s="1061"/>
      <c r="C192" s="1061"/>
      <c r="D192" s="1061"/>
      <c r="E192" s="1107" t="s">
        <v>701</v>
      </c>
      <c r="F192" s="1061" t="s">
        <v>89</v>
      </c>
      <c r="G192" s="1069" t="s">
        <v>808</v>
      </c>
      <c r="H192" s="1105">
        <f t="shared" si="11"/>
        <v>864</v>
      </c>
      <c r="I192" s="1145"/>
      <c r="J192" s="1105">
        <v>864</v>
      </c>
      <c r="K192" s="1105"/>
      <c r="L192" s="1105"/>
    </row>
    <row r="193" spans="2:12" ht="22.8" x14ac:dyDescent="0.2">
      <c r="B193" s="1061"/>
      <c r="C193" s="1061"/>
      <c r="D193" s="1061"/>
      <c r="E193" s="1107" t="s">
        <v>701</v>
      </c>
      <c r="F193" s="1061" t="s">
        <v>89</v>
      </c>
      <c r="G193" s="1069" t="s">
        <v>1490</v>
      </c>
      <c r="H193" s="1105">
        <f t="shared" si="11"/>
        <v>3708</v>
      </c>
      <c r="I193" s="1145"/>
      <c r="J193" s="1105">
        <v>3708</v>
      </c>
      <c r="K193" s="1105"/>
      <c r="L193" s="1105"/>
    </row>
    <row r="194" spans="2:12" x14ac:dyDescent="0.2">
      <c r="B194" s="1061"/>
      <c r="C194" s="1061"/>
      <c r="D194" s="1061"/>
      <c r="E194" s="1107" t="s">
        <v>701</v>
      </c>
      <c r="F194" s="1061" t="s">
        <v>89</v>
      </c>
      <c r="G194" s="1069" t="s">
        <v>809</v>
      </c>
      <c r="H194" s="1105">
        <f t="shared" si="11"/>
        <v>460</v>
      </c>
      <c r="I194" s="1145"/>
      <c r="J194" s="1105">
        <v>460</v>
      </c>
      <c r="K194" s="1105"/>
      <c r="L194" s="1105"/>
    </row>
    <row r="195" spans="2:12" x14ac:dyDescent="0.2">
      <c r="B195" s="1061"/>
      <c r="C195" s="1061"/>
      <c r="D195" s="1061"/>
      <c r="E195" s="1107" t="s">
        <v>701</v>
      </c>
      <c r="F195" s="1061" t="s">
        <v>89</v>
      </c>
      <c r="G195" s="1069" t="s">
        <v>810</v>
      </c>
      <c r="H195" s="1105">
        <f t="shared" si="11"/>
        <v>430</v>
      </c>
      <c r="I195" s="1145"/>
      <c r="J195" s="1105">
        <v>430</v>
      </c>
      <c r="K195" s="1105"/>
      <c r="L195" s="1105"/>
    </row>
    <row r="196" spans="2:12" x14ac:dyDescent="0.2">
      <c r="B196" s="1061"/>
      <c r="C196" s="1061"/>
      <c r="D196" s="1061"/>
      <c r="E196" s="1107" t="s">
        <v>701</v>
      </c>
      <c r="F196" s="1061" t="s">
        <v>89</v>
      </c>
      <c r="G196" s="1069" t="s">
        <v>811</v>
      </c>
      <c r="H196" s="1105">
        <f t="shared" si="11"/>
        <v>360</v>
      </c>
      <c r="I196" s="1145"/>
      <c r="J196" s="1105">
        <v>360</v>
      </c>
      <c r="K196" s="1105"/>
      <c r="L196" s="1105"/>
    </row>
    <row r="197" spans="2:12" x14ac:dyDescent="0.2">
      <c r="B197" s="1061"/>
      <c r="C197" s="1061"/>
      <c r="D197" s="1061"/>
      <c r="E197" s="1107" t="s">
        <v>701</v>
      </c>
      <c r="F197" s="1061" t="s">
        <v>89</v>
      </c>
      <c r="G197" s="1069" t="s">
        <v>1580</v>
      </c>
      <c r="H197" s="1105">
        <f t="shared" si="11"/>
        <v>2498</v>
      </c>
      <c r="I197" s="1145"/>
      <c r="J197" s="1105">
        <v>2498</v>
      </c>
      <c r="K197" s="1105"/>
      <c r="L197" s="1105"/>
    </row>
    <row r="198" spans="2:12" ht="22.8" x14ac:dyDescent="0.2">
      <c r="B198" s="1061"/>
      <c r="C198" s="1061"/>
      <c r="D198" s="1061"/>
      <c r="E198" s="1107" t="s">
        <v>694</v>
      </c>
      <c r="F198" s="1061" t="s">
        <v>386</v>
      </c>
      <c r="G198" s="1062" t="s">
        <v>948</v>
      </c>
      <c r="H198" s="1105">
        <f t="shared" si="11"/>
        <v>5000</v>
      </c>
      <c r="I198" s="1145"/>
      <c r="J198" s="1105">
        <v>5000</v>
      </c>
      <c r="K198" s="1105"/>
      <c r="L198" s="1105"/>
    </row>
    <row r="199" spans="2:12" x14ac:dyDescent="0.2">
      <c r="B199" s="1061"/>
      <c r="C199" s="1061"/>
      <c r="D199" s="1061"/>
      <c r="E199" s="1107" t="s">
        <v>172</v>
      </c>
      <c r="F199" s="1061" t="s">
        <v>92</v>
      </c>
      <c r="G199" s="1062" t="s">
        <v>1393</v>
      </c>
      <c r="H199" s="1105">
        <f t="shared" si="11"/>
        <v>4000</v>
      </c>
      <c r="I199" s="1145"/>
      <c r="J199" s="1105">
        <v>4000</v>
      </c>
      <c r="K199" s="1105"/>
      <c r="L199" s="1105"/>
    </row>
    <row r="200" spans="2:12" x14ac:dyDescent="0.2">
      <c r="B200" s="1061"/>
      <c r="C200" s="1061"/>
      <c r="D200" s="1061"/>
      <c r="E200" s="1107" t="s">
        <v>559</v>
      </c>
      <c r="F200" s="1061" t="s">
        <v>391</v>
      </c>
      <c r="G200" s="1062" t="s">
        <v>1041</v>
      </c>
      <c r="H200" s="1105">
        <f t="shared" si="11"/>
        <v>10000</v>
      </c>
      <c r="I200" s="1145"/>
      <c r="J200" s="1105">
        <v>10000</v>
      </c>
      <c r="K200" s="1105"/>
      <c r="L200" s="1105"/>
    </row>
    <row r="201" spans="2:12" x14ac:dyDescent="0.2">
      <c r="B201" s="1130" t="s">
        <v>1588</v>
      </c>
      <c r="C201" s="1061"/>
      <c r="D201" s="1061"/>
      <c r="E201" s="1107" t="s">
        <v>559</v>
      </c>
      <c r="F201" s="1061" t="s">
        <v>391</v>
      </c>
      <c r="G201" s="1062" t="s">
        <v>1042</v>
      </c>
      <c r="H201" s="1369">
        <f t="shared" si="11"/>
        <v>10128</v>
      </c>
      <c r="I201" s="1145"/>
      <c r="J201" s="1105">
        <v>10128</v>
      </c>
      <c r="K201" s="1105"/>
      <c r="L201" s="1105"/>
    </row>
    <row r="202" spans="2:12" ht="22.8" x14ac:dyDescent="0.2">
      <c r="B202" s="1130" t="s">
        <v>1589</v>
      </c>
      <c r="C202" s="1061"/>
      <c r="D202" s="1061"/>
      <c r="E202" s="1107" t="s">
        <v>663</v>
      </c>
      <c r="F202" s="1061" t="s">
        <v>1394</v>
      </c>
      <c r="G202" s="1062" t="s">
        <v>1043</v>
      </c>
      <c r="H202" s="1105">
        <f t="shared" si="11"/>
        <v>504</v>
      </c>
      <c r="I202" s="1145"/>
      <c r="J202" s="1105">
        <v>504</v>
      </c>
      <c r="K202" s="1105"/>
      <c r="L202" s="1105"/>
    </row>
    <row r="203" spans="2:12" ht="22.8" x14ac:dyDescent="0.2">
      <c r="B203" s="1130" t="s">
        <v>1589</v>
      </c>
      <c r="C203" s="1061"/>
      <c r="D203" s="1061"/>
      <c r="E203" s="1107" t="s">
        <v>663</v>
      </c>
      <c r="F203" s="1061" t="s">
        <v>1394</v>
      </c>
      <c r="G203" s="1062" t="s">
        <v>1044</v>
      </c>
      <c r="H203" s="1105">
        <f t="shared" si="11"/>
        <v>578</v>
      </c>
      <c r="I203" s="1145"/>
      <c r="J203" s="1105">
        <v>578</v>
      </c>
      <c r="K203" s="1105"/>
      <c r="L203" s="1105"/>
    </row>
    <row r="204" spans="2:12" ht="22.8" x14ac:dyDescent="0.2">
      <c r="B204" s="1130" t="s">
        <v>1589</v>
      </c>
      <c r="C204" s="1061"/>
      <c r="D204" s="1061"/>
      <c r="E204" s="1107" t="s">
        <v>663</v>
      </c>
      <c r="F204" s="1061" t="s">
        <v>1394</v>
      </c>
      <c r="G204" s="1062" t="s">
        <v>1045</v>
      </c>
      <c r="H204" s="1105">
        <f t="shared" si="11"/>
        <v>2352</v>
      </c>
      <c r="I204" s="1145"/>
      <c r="J204" s="1105">
        <v>2352</v>
      </c>
      <c r="K204" s="1105"/>
      <c r="L204" s="1105"/>
    </row>
    <row r="205" spans="2:12" ht="21.6" x14ac:dyDescent="0.2">
      <c r="B205" s="1130" t="s">
        <v>1589</v>
      </c>
      <c r="C205" s="1061"/>
      <c r="D205" s="1061"/>
      <c r="E205" s="1107" t="s">
        <v>663</v>
      </c>
      <c r="F205" s="1061" t="s">
        <v>1394</v>
      </c>
      <c r="G205" s="1062" t="s">
        <v>1046</v>
      </c>
      <c r="H205" s="1105">
        <f t="shared" si="11"/>
        <v>960</v>
      </c>
      <c r="I205" s="1145"/>
      <c r="J205" s="1105">
        <f>2*480</f>
        <v>960</v>
      </c>
      <c r="K205" s="1105"/>
      <c r="L205" s="1105"/>
    </row>
    <row r="206" spans="2:12" ht="22.8" x14ac:dyDescent="0.2">
      <c r="B206" s="1061"/>
      <c r="C206" s="1061"/>
      <c r="D206" s="1061"/>
      <c r="E206" s="1107" t="s">
        <v>663</v>
      </c>
      <c r="F206" s="1061" t="s">
        <v>1394</v>
      </c>
      <c r="G206" s="1062" t="s">
        <v>1590</v>
      </c>
      <c r="H206" s="1129">
        <f t="shared" ref="H206" si="13">SUM(J206:L206)</f>
        <v>13500</v>
      </c>
      <c r="I206" s="1145"/>
      <c r="J206" s="1105">
        <v>13500</v>
      </c>
      <c r="K206" s="1105"/>
      <c r="L206" s="1105"/>
    </row>
    <row r="207" spans="2:12" x14ac:dyDescent="0.2">
      <c r="B207" s="1061"/>
      <c r="C207" s="1061"/>
      <c r="D207" s="1061"/>
      <c r="E207" s="1107" t="s">
        <v>173</v>
      </c>
      <c r="F207" s="1061" t="s">
        <v>1409</v>
      </c>
      <c r="G207" s="1062" t="s">
        <v>1268</v>
      </c>
      <c r="H207" s="1105">
        <f t="shared" si="11"/>
        <v>21500</v>
      </c>
      <c r="I207" s="1145"/>
      <c r="J207" s="1105">
        <v>21500</v>
      </c>
      <c r="K207" s="1105"/>
      <c r="L207" s="1105"/>
    </row>
    <row r="208" spans="2:12" x14ac:dyDescent="0.2">
      <c r="B208" s="1061"/>
      <c r="C208" s="1061"/>
      <c r="D208" s="1061"/>
      <c r="E208" s="1107" t="s">
        <v>173</v>
      </c>
      <c r="F208" s="1061" t="s">
        <v>1409</v>
      </c>
      <c r="G208" s="1062" t="s">
        <v>1047</v>
      </c>
      <c r="H208" s="1105">
        <f t="shared" ref="H208:H222" si="14">SUM(J208:L208)</f>
        <v>22000</v>
      </c>
      <c r="I208" s="1145"/>
      <c r="J208" s="1105">
        <v>22000</v>
      </c>
      <c r="K208" s="1105"/>
      <c r="L208" s="1105"/>
    </row>
    <row r="209" spans="2:20" x14ac:dyDescent="0.2">
      <c r="B209" s="1061"/>
      <c r="C209" s="1061"/>
      <c r="D209" s="1061"/>
      <c r="E209" s="1107" t="s">
        <v>173</v>
      </c>
      <c r="F209" s="1061" t="s">
        <v>1409</v>
      </c>
      <c r="G209" s="1062" t="s">
        <v>1048</v>
      </c>
      <c r="H209" s="1105">
        <f t="shared" si="14"/>
        <v>18300</v>
      </c>
      <c r="I209" s="1145"/>
      <c r="J209" s="1105">
        <v>18300</v>
      </c>
      <c r="K209" s="1105"/>
      <c r="L209" s="1105"/>
    </row>
    <row r="210" spans="2:20" x14ac:dyDescent="0.2">
      <c r="B210" s="1061"/>
      <c r="C210" s="1061"/>
      <c r="D210" s="1061"/>
      <c r="E210" s="1107" t="s">
        <v>173</v>
      </c>
      <c r="F210" s="1061" t="s">
        <v>1409</v>
      </c>
      <c r="G210" s="1062" t="s">
        <v>1266</v>
      </c>
      <c r="H210" s="1105">
        <f t="shared" si="14"/>
        <v>11222</v>
      </c>
      <c r="I210" s="1145"/>
      <c r="J210" s="1105">
        <v>11222</v>
      </c>
      <c r="K210" s="1105"/>
      <c r="L210" s="1105"/>
    </row>
    <row r="211" spans="2:20" s="110" customFormat="1" x14ac:dyDescent="0.2">
      <c r="B211" s="1143"/>
      <c r="C211" s="1143"/>
      <c r="D211" s="1143"/>
      <c r="E211" s="1107" t="s">
        <v>173</v>
      </c>
      <c r="F211" s="1143" t="s">
        <v>1409</v>
      </c>
      <c r="G211" s="1117" t="s">
        <v>1267</v>
      </c>
      <c r="H211" s="1369">
        <f t="shared" si="14"/>
        <v>0</v>
      </c>
      <c r="I211" s="1145"/>
      <c r="J211" s="1105">
        <f>12902-12902</f>
        <v>0</v>
      </c>
      <c r="K211" s="1105"/>
      <c r="L211" s="1105"/>
      <c r="M211"/>
      <c r="N211"/>
      <c r="O211"/>
      <c r="P211"/>
      <c r="Q211"/>
      <c r="R211"/>
      <c r="S211"/>
      <c r="T211"/>
    </row>
    <row r="212" spans="2:20" x14ac:dyDescent="0.2">
      <c r="B212" s="1061"/>
      <c r="C212" s="1061"/>
      <c r="D212" s="1061"/>
      <c r="E212" s="1107" t="s">
        <v>173</v>
      </c>
      <c r="F212" s="1061" t="s">
        <v>1409</v>
      </c>
      <c r="G212" s="1062" t="s">
        <v>619</v>
      </c>
      <c r="H212" s="1105">
        <f t="shared" si="14"/>
        <v>20000</v>
      </c>
      <c r="I212" s="1145"/>
      <c r="J212" s="1105">
        <v>20000</v>
      </c>
      <c r="K212" s="1105"/>
      <c r="L212" s="1105"/>
      <c r="M212" s="110" t="s">
        <v>661</v>
      </c>
      <c r="N212" s="110"/>
      <c r="O212" s="110"/>
      <c r="P212" s="110"/>
      <c r="Q212" s="110"/>
      <c r="R212" s="110"/>
      <c r="S212" s="110"/>
      <c r="T212" s="110"/>
    </row>
    <row r="213" spans="2:20" x14ac:dyDescent="0.2">
      <c r="B213" s="1061"/>
      <c r="C213" s="1061"/>
      <c r="D213" s="1061"/>
      <c r="E213" s="1107" t="s">
        <v>173</v>
      </c>
      <c r="F213" s="1061" t="s">
        <v>1409</v>
      </c>
      <c r="G213" s="1062" t="s">
        <v>1591</v>
      </c>
      <c r="H213" s="1105">
        <f t="shared" si="14"/>
        <v>20000</v>
      </c>
      <c r="I213" s="1145"/>
      <c r="J213" s="1105">
        <v>20000</v>
      </c>
      <c r="K213" s="1105"/>
      <c r="L213" s="1105"/>
    </row>
    <row r="214" spans="2:20" x14ac:dyDescent="0.2">
      <c r="B214" s="1061"/>
      <c r="C214" s="1061"/>
      <c r="D214" s="1061"/>
      <c r="E214" s="1107" t="s">
        <v>173</v>
      </c>
      <c r="F214" s="1061" t="s">
        <v>1409</v>
      </c>
      <c r="G214" s="1062" t="s">
        <v>1049</v>
      </c>
      <c r="H214" s="1105">
        <f t="shared" si="14"/>
        <v>30000</v>
      </c>
      <c r="I214" s="1145"/>
      <c r="J214" s="1105">
        <v>30000</v>
      </c>
      <c r="K214" s="1105"/>
      <c r="L214" s="1105"/>
    </row>
    <row r="215" spans="2:20" ht="11.4" customHeight="1" x14ac:dyDescent="0.2">
      <c r="B215" s="1061"/>
      <c r="C215" s="1061"/>
      <c r="D215" s="1061"/>
      <c r="E215" s="1107" t="s">
        <v>189</v>
      </c>
      <c r="F215" s="1061" t="s">
        <v>190</v>
      </c>
      <c r="G215" s="1085" t="s">
        <v>1438</v>
      </c>
      <c r="H215" s="1105">
        <f t="shared" si="14"/>
        <v>1000</v>
      </c>
      <c r="I215" s="1145"/>
      <c r="J215" s="1105">
        <v>1000</v>
      </c>
      <c r="K215" s="1105"/>
      <c r="L215" s="1105"/>
    </row>
    <row r="216" spans="2:20" x14ac:dyDescent="0.2">
      <c r="B216" s="1061"/>
      <c r="C216" s="1061"/>
      <c r="D216" s="1061"/>
      <c r="E216" s="1107" t="s">
        <v>189</v>
      </c>
      <c r="F216" s="1061" t="s">
        <v>190</v>
      </c>
      <c r="G216" s="1085" t="s">
        <v>620</v>
      </c>
      <c r="H216" s="1105">
        <f t="shared" si="14"/>
        <v>2000</v>
      </c>
      <c r="I216" s="1145"/>
      <c r="J216" s="1105">
        <v>2000</v>
      </c>
      <c r="K216" s="1105"/>
      <c r="L216" s="1105"/>
    </row>
    <row r="217" spans="2:20" x14ac:dyDescent="0.2">
      <c r="B217" s="1061"/>
      <c r="C217" s="1061"/>
      <c r="D217" s="1061"/>
      <c r="E217" s="1107" t="s">
        <v>174</v>
      </c>
      <c r="F217" s="1061" t="s">
        <v>166</v>
      </c>
      <c r="G217" s="1062" t="s">
        <v>1143</v>
      </c>
      <c r="H217" s="1105">
        <f t="shared" si="14"/>
        <v>6000</v>
      </c>
      <c r="I217" s="1145"/>
      <c r="J217" s="1105">
        <v>6000</v>
      </c>
      <c r="K217" s="1105"/>
      <c r="L217" s="1105"/>
    </row>
    <row r="218" spans="2:20" x14ac:dyDescent="0.2">
      <c r="B218" s="1061"/>
      <c r="C218" s="1061"/>
      <c r="D218" s="1061"/>
      <c r="E218" s="1107" t="s">
        <v>174</v>
      </c>
      <c r="F218" s="1061" t="s">
        <v>166</v>
      </c>
      <c r="G218" s="1062" t="s">
        <v>1144</v>
      </c>
      <c r="H218" s="1105">
        <f t="shared" si="14"/>
        <v>5000</v>
      </c>
      <c r="I218" s="1145"/>
      <c r="J218" s="1105">
        <v>5000</v>
      </c>
      <c r="K218" s="1105"/>
      <c r="L218" s="1105"/>
    </row>
    <row r="219" spans="2:20" ht="22.8" x14ac:dyDescent="0.2">
      <c r="B219" s="1061"/>
      <c r="C219" s="1061"/>
      <c r="D219" s="1061"/>
      <c r="E219" s="1107" t="s">
        <v>174</v>
      </c>
      <c r="F219" s="1061" t="s">
        <v>166</v>
      </c>
      <c r="G219" s="1062" t="s">
        <v>1398</v>
      </c>
      <c r="H219" s="1105">
        <f t="shared" si="14"/>
        <v>31500</v>
      </c>
      <c r="I219" s="1145"/>
      <c r="J219" s="1105">
        <v>31500</v>
      </c>
      <c r="K219" s="1105"/>
      <c r="L219" s="1105"/>
    </row>
    <row r="220" spans="2:20" ht="22.8" x14ac:dyDescent="0.2">
      <c r="B220" s="1061"/>
      <c r="C220" s="1061"/>
      <c r="D220" s="1061"/>
      <c r="E220" s="1107" t="s">
        <v>174</v>
      </c>
      <c r="F220" s="1061" t="s">
        <v>166</v>
      </c>
      <c r="G220" s="1062" t="s">
        <v>1399</v>
      </c>
      <c r="H220" s="1105">
        <f t="shared" si="14"/>
        <v>9000</v>
      </c>
      <c r="I220" s="1145"/>
      <c r="J220" s="1105">
        <v>9000</v>
      </c>
      <c r="K220" s="1105"/>
      <c r="L220" s="1105"/>
    </row>
    <row r="221" spans="2:20" ht="22.8" x14ac:dyDescent="0.2">
      <c r="B221" s="1061"/>
      <c r="C221" s="1061"/>
      <c r="D221" s="1061"/>
      <c r="E221" s="1107" t="s">
        <v>174</v>
      </c>
      <c r="F221" s="1061" t="s">
        <v>166</v>
      </c>
      <c r="G221" s="1062" t="s">
        <v>1151</v>
      </c>
      <c r="H221" s="1105">
        <f t="shared" si="14"/>
        <v>7900</v>
      </c>
      <c r="I221" s="1145"/>
      <c r="J221" s="1105">
        <v>7900</v>
      </c>
      <c r="K221" s="1105"/>
      <c r="L221" s="1105"/>
    </row>
    <row r="222" spans="2:20" ht="34.200000000000003" x14ac:dyDescent="0.2">
      <c r="B222" s="1061"/>
      <c r="C222" s="1061"/>
      <c r="D222" s="1061"/>
      <c r="E222" s="1107" t="s">
        <v>174</v>
      </c>
      <c r="F222" s="1061" t="s">
        <v>166</v>
      </c>
      <c r="G222" s="1062" t="s">
        <v>1400</v>
      </c>
      <c r="H222" s="1105">
        <f t="shared" si="14"/>
        <v>21750</v>
      </c>
      <c r="I222" s="1145"/>
      <c r="J222" s="1105">
        <v>21750</v>
      </c>
      <c r="K222" s="1105"/>
      <c r="L222" s="1105"/>
    </row>
    <row r="223" spans="2:20" x14ac:dyDescent="0.2">
      <c r="B223" s="1061"/>
      <c r="C223" s="1061"/>
      <c r="D223" s="1061"/>
      <c r="E223" s="1107" t="s">
        <v>175</v>
      </c>
      <c r="F223" s="1061" t="s">
        <v>1410</v>
      </c>
      <c r="G223" s="1062" t="s">
        <v>1417</v>
      </c>
      <c r="H223" s="1105">
        <f t="shared" ref="H223:H226" si="15">SUM(J223:L223)</f>
        <v>6000</v>
      </c>
      <c r="I223" s="1145"/>
      <c r="J223" s="1105">
        <v>6000</v>
      </c>
      <c r="K223" s="1105"/>
      <c r="L223" s="1105"/>
    </row>
    <row r="224" spans="2:20" x14ac:dyDescent="0.2">
      <c r="B224" s="1061"/>
      <c r="C224" s="1061"/>
      <c r="D224" s="1061"/>
      <c r="E224" s="1107" t="s">
        <v>234</v>
      </c>
      <c r="F224" s="1061" t="s">
        <v>1402</v>
      </c>
      <c r="G224" s="1062" t="s">
        <v>1152</v>
      </c>
      <c r="H224" s="1105">
        <f t="shared" si="15"/>
        <v>3000</v>
      </c>
      <c r="I224" s="1145"/>
      <c r="J224" s="1105">
        <v>3000</v>
      </c>
      <c r="K224" s="1105"/>
      <c r="L224" s="1105"/>
    </row>
    <row r="225" spans="2:16" x14ac:dyDescent="0.2">
      <c r="B225" s="1061"/>
      <c r="C225" s="1061"/>
      <c r="D225" s="1061"/>
      <c r="E225" s="1107" t="s">
        <v>234</v>
      </c>
      <c r="F225" s="1061" t="s">
        <v>1402</v>
      </c>
      <c r="G225" s="1062" t="s">
        <v>1403</v>
      </c>
      <c r="H225" s="1105">
        <f t="shared" si="15"/>
        <v>1500</v>
      </c>
      <c r="I225" s="1145"/>
      <c r="J225" s="1105">
        <v>1500</v>
      </c>
      <c r="K225" s="1105"/>
      <c r="L225" s="1105"/>
    </row>
    <row r="226" spans="2:16" ht="22.8" x14ac:dyDescent="0.2">
      <c r="B226" s="1061"/>
      <c r="C226" s="1061"/>
      <c r="D226" s="1061"/>
      <c r="E226" s="1107" t="s">
        <v>557</v>
      </c>
      <c r="F226" s="1061" t="s">
        <v>387</v>
      </c>
      <c r="G226" s="1062" t="s">
        <v>1265</v>
      </c>
      <c r="H226" s="1105">
        <f t="shared" si="15"/>
        <v>16500</v>
      </c>
      <c r="I226" s="1145"/>
      <c r="J226" s="1105">
        <v>16500</v>
      </c>
      <c r="K226" s="1105"/>
      <c r="L226" s="1105"/>
    </row>
    <row r="227" spans="2:16" x14ac:dyDescent="0.2">
      <c r="B227" s="1067"/>
      <c r="C227" s="1067"/>
      <c r="D227" s="1067"/>
      <c r="E227" s="1150"/>
      <c r="F227" s="1067"/>
      <c r="G227" s="1070" t="s">
        <v>1517</v>
      </c>
      <c r="H227" s="1487"/>
      <c r="I227" s="1488"/>
      <c r="J227" s="1489"/>
      <c r="K227" s="1489"/>
      <c r="L227" s="1489"/>
    </row>
    <row r="228" spans="2:16" x14ac:dyDescent="0.2">
      <c r="B228" s="1061"/>
      <c r="C228" s="1061"/>
      <c r="D228" s="1061"/>
      <c r="E228" s="1143" t="s">
        <v>383</v>
      </c>
      <c r="F228" s="1143" t="s">
        <v>383</v>
      </c>
      <c r="G228" s="1062" t="s">
        <v>1350</v>
      </c>
      <c r="H228" s="1105">
        <f t="shared" ref="H228:H250" si="16">SUM(J228:L228)</f>
        <v>6800</v>
      </c>
      <c r="I228" s="1145"/>
      <c r="J228" s="1105">
        <v>6800</v>
      </c>
      <c r="K228" s="1105"/>
      <c r="L228" s="1105"/>
    </row>
    <row r="229" spans="2:16" x14ac:dyDescent="0.2">
      <c r="B229" s="1061"/>
      <c r="C229" s="1061"/>
      <c r="D229" s="1061"/>
      <c r="E229" s="1143" t="s">
        <v>383</v>
      </c>
      <c r="F229" s="1143" t="s">
        <v>383</v>
      </c>
      <c r="G229" s="1062" t="s">
        <v>1406</v>
      </c>
      <c r="H229" s="1105">
        <f t="shared" si="16"/>
        <v>3600</v>
      </c>
      <c r="I229" s="1145"/>
      <c r="J229" s="1105">
        <v>3600</v>
      </c>
      <c r="K229" s="1105"/>
      <c r="L229" s="1105"/>
    </row>
    <row r="230" spans="2:16" x14ac:dyDescent="0.2">
      <c r="B230" s="1130" t="s">
        <v>1492</v>
      </c>
      <c r="C230" s="1061"/>
      <c r="D230" s="1061"/>
      <c r="E230" s="1143" t="s">
        <v>383</v>
      </c>
      <c r="F230" s="1143" t="s">
        <v>383</v>
      </c>
      <c r="G230" s="1072" t="s">
        <v>1505</v>
      </c>
      <c r="H230" s="1493">
        <f t="shared" si="16"/>
        <v>9000</v>
      </c>
      <c r="I230" s="1145"/>
      <c r="J230" s="1105">
        <v>9000</v>
      </c>
      <c r="K230" s="1105"/>
      <c r="L230" s="1105"/>
    </row>
    <row r="231" spans="2:16" x14ac:dyDescent="0.2">
      <c r="B231" s="1067"/>
      <c r="C231" s="1067"/>
      <c r="D231" s="1067"/>
      <c r="E231" s="1067"/>
      <c r="F231" s="1067"/>
      <c r="G231" s="1070" t="s">
        <v>1503</v>
      </c>
      <c r="H231" s="1487"/>
      <c r="I231" s="1488"/>
      <c r="J231" s="1489"/>
      <c r="K231" s="1489"/>
      <c r="L231" s="1489"/>
    </row>
    <row r="232" spans="2:16" x14ac:dyDescent="0.2">
      <c r="B232" s="1130" t="s">
        <v>1595</v>
      </c>
      <c r="C232" s="1061"/>
      <c r="D232" s="1061"/>
      <c r="E232" s="1143" t="s">
        <v>383</v>
      </c>
      <c r="F232" s="1143" t="s">
        <v>383</v>
      </c>
      <c r="G232" s="1062" t="s">
        <v>1459</v>
      </c>
      <c r="H232" s="1105">
        <f t="shared" si="16"/>
        <v>19200</v>
      </c>
      <c r="I232" s="1145"/>
      <c r="J232" s="1105">
        <v>19200</v>
      </c>
      <c r="K232" s="1105"/>
      <c r="L232" s="1105"/>
    </row>
    <row r="233" spans="2:16" x14ac:dyDescent="0.2">
      <c r="B233" s="1061"/>
      <c r="C233" s="1061"/>
      <c r="D233" s="1061"/>
      <c r="E233" s="1143" t="s">
        <v>383</v>
      </c>
      <c r="F233" s="1143" t="s">
        <v>383</v>
      </c>
      <c r="G233" s="1062" t="s">
        <v>1461</v>
      </c>
      <c r="H233" s="1105">
        <f t="shared" si="16"/>
        <v>600000</v>
      </c>
      <c r="I233" s="1145"/>
      <c r="J233" s="1485">
        <v>600000</v>
      </c>
      <c r="K233" s="1485"/>
      <c r="L233" s="1485"/>
    </row>
    <row r="234" spans="2:16" x14ac:dyDescent="0.2">
      <c r="B234" s="1061"/>
      <c r="C234" s="1061"/>
      <c r="D234" s="1061"/>
      <c r="E234" s="1143" t="s">
        <v>383</v>
      </c>
      <c r="F234" s="1143" t="s">
        <v>383</v>
      </c>
      <c r="G234" s="1062" t="s">
        <v>1349</v>
      </c>
      <c r="H234" s="1105">
        <f t="shared" si="16"/>
        <v>5000</v>
      </c>
      <c r="I234" s="1145"/>
      <c r="J234" s="1105">
        <v>5000</v>
      </c>
      <c r="K234" s="1105"/>
      <c r="L234" s="1105"/>
      <c r="M234" t="s">
        <v>1469</v>
      </c>
      <c r="N234" t="s">
        <v>1471</v>
      </c>
      <c r="O234" t="s">
        <v>1593</v>
      </c>
      <c r="P234" t="s">
        <v>1594</v>
      </c>
    </row>
    <row r="235" spans="2:16" ht="22.8" x14ac:dyDescent="0.2">
      <c r="B235" s="1061"/>
      <c r="C235" s="1061"/>
      <c r="D235" s="1061"/>
      <c r="E235" s="1143" t="s">
        <v>383</v>
      </c>
      <c r="F235" s="1143" t="s">
        <v>383</v>
      </c>
      <c r="G235" s="1062" t="s">
        <v>1357</v>
      </c>
      <c r="H235" s="1105">
        <f t="shared" si="16"/>
        <v>48431</v>
      </c>
      <c r="I235" s="1145"/>
      <c r="J235" s="1105">
        <v>48431</v>
      </c>
      <c r="K235" s="1105"/>
      <c r="L235" s="1105"/>
    </row>
    <row r="236" spans="2:16" x14ac:dyDescent="0.2">
      <c r="B236" s="1061"/>
      <c r="C236" s="1061"/>
      <c r="D236" s="1061"/>
      <c r="E236" s="1143" t="s">
        <v>383</v>
      </c>
      <c r="F236" s="1143" t="s">
        <v>383</v>
      </c>
      <c r="G236" s="1062" t="s">
        <v>1468</v>
      </c>
      <c r="H236" s="1105">
        <f t="shared" si="16"/>
        <v>50000</v>
      </c>
      <c r="I236" s="1145"/>
      <c r="J236" s="1105">
        <v>50000</v>
      </c>
      <c r="K236" s="1105"/>
      <c r="L236" s="1105"/>
    </row>
    <row r="237" spans="2:16" x14ac:dyDescent="0.2">
      <c r="B237" s="1061"/>
      <c r="C237" s="1061"/>
      <c r="D237" s="1061"/>
      <c r="E237" s="1143" t="s">
        <v>383</v>
      </c>
      <c r="F237" s="1143" t="s">
        <v>383</v>
      </c>
      <c r="G237" s="1062" t="s">
        <v>1356</v>
      </c>
      <c r="H237" s="1105">
        <f t="shared" si="16"/>
        <v>9750</v>
      </c>
      <c r="I237" s="1145"/>
      <c r="J237" s="1105">
        <v>9750</v>
      </c>
      <c r="K237" s="1105"/>
      <c r="L237" s="1105"/>
    </row>
    <row r="238" spans="2:16" x14ac:dyDescent="0.2">
      <c r="B238" s="1130"/>
      <c r="C238" s="1061"/>
      <c r="D238" s="1061"/>
      <c r="E238" s="1143" t="s">
        <v>383</v>
      </c>
      <c r="F238" s="1143" t="s">
        <v>383</v>
      </c>
      <c r="G238" s="1062" t="s">
        <v>1355</v>
      </c>
      <c r="H238" s="1493">
        <f t="shared" si="16"/>
        <v>11000</v>
      </c>
      <c r="I238" s="1145"/>
      <c r="J238" s="1105">
        <v>11000</v>
      </c>
      <c r="K238" s="1105"/>
      <c r="L238" s="1105"/>
    </row>
    <row r="239" spans="2:16" x14ac:dyDescent="0.2">
      <c r="B239" s="1130" t="s">
        <v>1280</v>
      </c>
      <c r="C239" s="1061"/>
      <c r="D239" s="1061"/>
      <c r="E239" s="1143" t="s">
        <v>383</v>
      </c>
      <c r="F239" s="1143" t="s">
        <v>383</v>
      </c>
      <c r="G239" s="1062" t="s">
        <v>1348</v>
      </c>
      <c r="H239" s="1105">
        <f t="shared" si="16"/>
        <v>20000</v>
      </c>
      <c r="I239" s="1145"/>
      <c r="J239" s="1105">
        <v>20000</v>
      </c>
      <c r="K239" s="1105"/>
      <c r="L239" s="1105"/>
    </row>
    <row r="240" spans="2:16" x14ac:dyDescent="0.2">
      <c r="B240" s="1061"/>
      <c r="C240" s="1061"/>
      <c r="D240" s="1061"/>
      <c r="E240" s="1143" t="s">
        <v>383</v>
      </c>
      <c r="F240" s="1143" t="s">
        <v>383</v>
      </c>
      <c r="G240" s="1062" t="s">
        <v>1491</v>
      </c>
      <c r="H240" s="1105">
        <f t="shared" si="16"/>
        <v>14811</v>
      </c>
      <c r="I240" s="1145"/>
      <c r="J240" s="1105">
        <v>14811</v>
      </c>
      <c r="K240" s="1105"/>
      <c r="L240" s="1105"/>
    </row>
    <row r="241" spans="2:12" x14ac:dyDescent="0.2">
      <c r="B241" s="1061"/>
      <c r="C241" s="1061"/>
      <c r="D241" s="1061"/>
      <c r="E241" s="1143" t="s">
        <v>383</v>
      </c>
      <c r="F241" s="1143" t="s">
        <v>383</v>
      </c>
      <c r="G241" s="1062" t="s">
        <v>1352</v>
      </c>
      <c r="H241" s="1105">
        <f t="shared" si="16"/>
        <v>18500</v>
      </c>
      <c r="I241" s="1145"/>
      <c r="J241" s="1105">
        <v>18500</v>
      </c>
      <c r="K241" s="1105"/>
      <c r="L241" s="1105"/>
    </row>
    <row r="242" spans="2:12" x14ac:dyDescent="0.2">
      <c r="B242" s="1061"/>
      <c r="C242" s="1061"/>
      <c r="D242" s="1061"/>
      <c r="E242" s="1143" t="s">
        <v>383</v>
      </c>
      <c r="F242" s="1143" t="s">
        <v>383</v>
      </c>
      <c r="G242" s="1062" t="s">
        <v>1353</v>
      </c>
      <c r="H242" s="1105">
        <f t="shared" si="16"/>
        <v>12000</v>
      </c>
      <c r="I242" s="1145"/>
      <c r="J242" s="1105">
        <v>12000</v>
      </c>
      <c r="K242" s="1105"/>
      <c r="L242" s="1105"/>
    </row>
    <row r="243" spans="2:12" x14ac:dyDescent="0.2">
      <c r="B243" s="1067"/>
      <c r="C243" s="1067"/>
      <c r="D243" s="1067"/>
      <c r="E243" s="1067"/>
      <c r="F243" s="1067"/>
      <c r="G243" s="1070" t="s">
        <v>1504</v>
      </c>
      <c r="H243" s="1487"/>
      <c r="I243" s="1488"/>
      <c r="J243" s="1489"/>
      <c r="K243" s="1489"/>
      <c r="L243" s="1489"/>
    </row>
    <row r="244" spans="2:12" x14ac:dyDescent="0.2">
      <c r="B244" s="1061"/>
      <c r="C244" s="1061"/>
      <c r="D244" s="1061"/>
      <c r="E244" s="1143" t="s">
        <v>383</v>
      </c>
      <c r="F244" s="1143" t="s">
        <v>383</v>
      </c>
      <c r="G244" s="1062" t="s">
        <v>1482</v>
      </c>
      <c r="H244" s="1105">
        <f t="shared" si="16"/>
        <v>60000</v>
      </c>
      <c r="I244" s="1145"/>
      <c r="J244" s="1105">
        <v>60000</v>
      </c>
      <c r="K244" s="1105"/>
      <c r="L244" s="1105"/>
    </row>
    <row r="245" spans="2:12" x14ac:dyDescent="0.2">
      <c r="B245" s="1061"/>
      <c r="C245" s="1061"/>
      <c r="D245" s="1061"/>
      <c r="E245" s="1143" t="s">
        <v>383</v>
      </c>
      <c r="F245" s="1143" t="s">
        <v>383</v>
      </c>
      <c r="G245" s="1062" t="s">
        <v>1483</v>
      </c>
      <c r="H245" s="1105">
        <f t="shared" si="16"/>
        <v>38000</v>
      </c>
      <c r="I245" s="1145"/>
      <c r="J245" s="1105">
        <v>38000</v>
      </c>
      <c r="K245" s="1105"/>
      <c r="L245" s="1105"/>
    </row>
    <row r="246" spans="2:12" x14ac:dyDescent="0.2">
      <c r="B246" s="1061"/>
      <c r="C246" s="1061"/>
      <c r="D246" s="1061"/>
      <c r="E246" s="1143" t="s">
        <v>383</v>
      </c>
      <c r="F246" s="1143" t="s">
        <v>383</v>
      </c>
      <c r="G246" s="1062" t="s">
        <v>1484</v>
      </c>
      <c r="H246" s="1105">
        <f t="shared" si="16"/>
        <v>30000</v>
      </c>
      <c r="I246" s="1145"/>
      <c r="J246" s="1105">
        <v>30000</v>
      </c>
      <c r="K246" s="1105"/>
      <c r="L246" s="1105"/>
    </row>
    <row r="247" spans="2:12" x14ac:dyDescent="0.2">
      <c r="B247" s="1061"/>
      <c r="C247" s="1061"/>
      <c r="D247" s="1061"/>
      <c r="E247" s="1143" t="s">
        <v>383</v>
      </c>
      <c r="F247" s="1143" t="s">
        <v>383</v>
      </c>
      <c r="G247" s="1062" t="s">
        <v>1485</v>
      </c>
      <c r="H247" s="1105">
        <f t="shared" si="16"/>
        <v>180000</v>
      </c>
      <c r="I247" s="1145"/>
      <c r="J247" s="1105">
        <v>180000</v>
      </c>
      <c r="K247" s="1105"/>
      <c r="L247" s="1105"/>
    </row>
    <row r="248" spans="2:12" x14ac:dyDescent="0.2">
      <c r="B248" s="1061"/>
      <c r="C248" s="1061"/>
      <c r="D248" s="1061"/>
      <c r="E248" s="1143" t="s">
        <v>383</v>
      </c>
      <c r="F248" s="1143" t="s">
        <v>383</v>
      </c>
      <c r="G248" s="1062" t="s">
        <v>1486</v>
      </c>
      <c r="H248" s="1105">
        <f t="shared" si="16"/>
        <v>80000</v>
      </c>
      <c r="I248" s="1145"/>
      <c r="J248" s="1105">
        <v>80000</v>
      </c>
      <c r="K248" s="1105"/>
      <c r="L248" s="1105"/>
    </row>
    <row r="249" spans="2:12" ht="22.8" x14ac:dyDescent="0.2">
      <c r="B249" s="1061"/>
      <c r="C249" s="1061"/>
      <c r="D249" s="1061"/>
      <c r="E249" s="1143" t="s">
        <v>383</v>
      </c>
      <c r="F249" s="1143" t="s">
        <v>383</v>
      </c>
      <c r="G249" s="1062" t="s">
        <v>1487</v>
      </c>
      <c r="H249" s="1105">
        <f t="shared" si="16"/>
        <v>200000</v>
      </c>
      <c r="I249" s="1145"/>
      <c r="J249" s="1105">
        <v>200000</v>
      </c>
      <c r="K249" s="1105"/>
      <c r="L249" s="1105"/>
    </row>
    <row r="250" spans="2:12" x14ac:dyDescent="0.2">
      <c r="B250" s="1061"/>
      <c r="C250" s="1061"/>
      <c r="D250" s="1061"/>
      <c r="E250" s="1143" t="s">
        <v>383</v>
      </c>
      <c r="F250" s="1143" t="s">
        <v>383</v>
      </c>
      <c r="G250" s="1062" t="s">
        <v>1488</v>
      </c>
      <c r="H250" s="1105">
        <f t="shared" si="16"/>
        <v>55000</v>
      </c>
      <c r="I250" s="1145"/>
      <c r="J250" s="1105">
        <v>55000</v>
      </c>
      <c r="K250" s="1105"/>
      <c r="L250" s="1105"/>
    </row>
    <row r="251" spans="2:12" ht="12" x14ac:dyDescent="0.25">
      <c r="G251" s="1086" t="s">
        <v>1407</v>
      </c>
      <c r="H251" s="1494">
        <f>SUM(H183:H250)</f>
        <v>1915252.15</v>
      </c>
      <c r="I251" s="1145">
        <f>SUM(I183:I245)</f>
        <v>0</v>
      </c>
      <c r="J251" s="1494">
        <f>SUM(J183:J250)</f>
        <v>1914252.15</v>
      </c>
      <c r="K251" s="1494">
        <f>SUM(K183:K250)</f>
        <v>1000</v>
      </c>
      <c r="L251" s="1494">
        <f>SUM(L183:L250)</f>
        <v>0</v>
      </c>
    </row>
    <row r="254" spans="2:12" x14ac:dyDescent="0.2">
      <c r="G254" s="158"/>
    </row>
    <row r="255" spans="2:12" x14ac:dyDescent="0.2">
      <c r="G255" s="158"/>
      <c r="H255" s="111"/>
      <c r="I255" s="111"/>
    </row>
    <row r="256" spans="2:12" x14ac:dyDescent="0.2">
      <c r="G256" s="158"/>
      <c r="H256" s="111"/>
      <c r="I256" s="111"/>
    </row>
    <row r="257" spans="7:12" x14ac:dyDescent="0.2">
      <c r="G257" s="158"/>
      <c r="H257" s="111"/>
      <c r="I257" s="111"/>
      <c r="K257" s="111"/>
      <c r="L257" s="111"/>
    </row>
    <row r="258" spans="7:12" x14ac:dyDescent="0.2">
      <c r="K258" s="111"/>
      <c r="L258" s="111"/>
    </row>
    <row r="272" spans="7:12" x14ac:dyDescent="0.2">
      <c r="H272" s="111"/>
    </row>
  </sheetData>
  <mergeCells count="31">
    <mergeCell ref="K127:K128"/>
    <mergeCell ref="L127:L128"/>
    <mergeCell ref="C2:C5"/>
    <mergeCell ref="C8:C10"/>
    <mergeCell ref="C14:C15"/>
    <mergeCell ref="C44:C45"/>
    <mergeCell ref="J44:L44"/>
    <mergeCell ref="J81:L81"/>
    <mergeCell ref="J127:J128"/>
    <mergeCell ref="B44:B45"/>
    <mergeCell ref="B81:B82"/>
    <mergeCell ref="C81:C82"/>
    <mergeCell ref="D81:D82"/>
    <mergeCell ref="H127:H128"/>
    <mergeCell ref="H44:H45"/>
    <mergeCell ref="G44:G45"/>
    <mergeCell ref="F44:F45"/>
    <mergeCell ref="F81:F82"/>
    <mergeCell ref="G81:G82"/>
    <mergeCell ref="H81:H82"/>
    <mergeCell ref="E44:E45"/>
    <mergeCell ref="D44:D45"/>
    <mergeCell ref="E81:E82"/>
    <mergeCell ref="J181:L181"/>
    <mergeCell ref="B181:B182"/>
    <mergeCell ref="C181:C182"/>
    <mergeCell ref="D181:D182"/>
    <mergeCell ref="G181:G182"/>
    <mergeCell ref="E181:E182"/>
    <mergeCell ref="F181:F182"/>
    <mergeCell ref="H181:H182"/>
  </mergeCells>
  <phoneticPr fontId="73" type="noConversion"/>
  <pageMargins left="0.23622047244094491" right="0.23622047244094491" top="0.15748031496062992" bottom="0.15748031496062992" header="0.31496062992125984" footer="0.31496062992125984"/>
  <pageSetup paperSize="9" scale="2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apa13">
    <tabColor rgb="FF00B050"/>
    <pageSetUpPr fitToPage="1"/>
  </sheetPr>
  <dimension ref="A1:DP226"/>
  <sheetViews>
    <sheetView zoomScale="122" zoomScaleNormal="122" workbookViewId="0">
      <pane ySplit="9" topLeftCell="A149" activePane="bottomLeft" state="frozen"/>
      <selection activeCell="A4" sqref="A4"/>
      <selection pane="bottomLeft" activeCell="X133" sqref="X133"/>
    </sheetView>
  </sheetViews>
  <sheetFormatPr defaultColWidth="9.125" defaultRowHeight="13.2" outlineLevelRow="1" outlineLevelCol="1" x14ac:dyDescent="0.25"/>
  <cols>
    <col min="1" max="1" width="5.375" style="367" customWidth="1"/>
    <col min="2" max="2" width="26.75" style="3" customWidth="1"/>
    <col min="3" max="3" width="9" style="3" customWidth="1" outlineLevel="1"/>
    <col min="4" max="4" width="9.375" style="3" customWidth="1" outlineLevel="1" collapsed="1"/>
    <col min="5" max="5" width="0.25" style="171" customWidth="1" outlineLevel="1"/>
    <col min="6" max="6" width="9.375" style="4" customWidth="1"/>
    <col min="7" max="7" width="9.375" style="3" customWidth="1"/>
    <col min="8" max="8" width="11" style="10" hidden="1" customWidth="1" outlineLevel="1"/>
    <col min="9" max="9" width="11" style="11" customWidth="1" collapsed="1"/>
    <col min="10" max="10" width="9.625" style="10" hidden="1" customWidth="1" outlineLevel="1"/>
    <col min="11" max="11" width="11.25" style="11" hidden="1" customWidth="1" outlineLevel="1"/>
    <col min="12" max="12" width="10.625" style="3" customWidth="1" collapsed="1"/>
    <col min="13" max="13" width="9.375" style="3" customWidth="1"/>
    <col min="14" max="14" width="9.375" style="3" hidden="1" customWidth="1" outlineLevel="1"/>
    <col min="15" max="15" width="9.375" style="172" hidden="1" customWidth="1" outlineLevel="1"/>
    <col min="16" max="16" width="9.375" style="173" hidden="1" customWidth="1" outlineLevel="1"/>
    <col min="17" max="18" width="11.375" style="3" hidden="1" customWidth="1" outlineLevel="1"/>
    <col min="19" max="19" width="6.25" style="3" customWidth="1" collapsed="1"/>
    <col min="20" max="20" width="11.75" style="268" hidden="1" customWidth="1" outlineLevel="1"/>
    <col min="21" max="23" width="11.75" style="9" hidden="1" customWidth="1" outlineLevel="1"/>
    <col min="24" max="24" width="11.75" style="9" customWidth="1" collapsed="1"/>
    <col min="25" max="26" width="11.75" style="9" customWidth="1"/>
    <col min="27" max="32" width="11" style="9" customWidth="1"/>
    <col min="33" max="34" width="9.125" style="850"/>
    <col min="35" max="35" width="14.375" style="3" customWidth="1"/>
    <col min="36" max="16384" width="9.125" style="3"/>
  </cols>
  <sheetData>
    <row r="1" spans="1:42" ht="17.25" hidden="1" customHeight="1" outlineLevel="1" x14ac:dyDescent="0.3">
      <c r="D1" s="4"/>
      <c r="E1" s="166"/>
      <c r="F1" s="3"/>
      <c r="G1" s="5"/>
      <c r="H1" s="6"/>
      <c r="I1" s="5"/>
      <c r="J1" s="7"/>
      <c r="K1" s="5"/>
      <c r="N1" s="8"/>
      <c r="O1" s="167"/>
      <c r="P1" s="168"/>
      <c r="T1" s="267"/>
      <c r="U1" s="3"/>
      <c r="V1" s="3"/>
      <c r="W1" s="3"/>
      <c r="X1" s="3"/>
      <c r="Y1" s="3"/>
      <c r="Z1" s="3"/>
      <c r="AA1" s="169"/>
      <c r="AB1" s="169"/>
      <c r="AC1" s="169"/>
      <c r="AD1" s="169"/>
      <c r="AE1" s="495"/>
      <c r="AF1" s="495" t="s">
        <v>106</v>
      </c>
    </row>
    <row r="2" spans="1:42" ht="17.25" hidden="1" customHeight="1" outlineLevel="1" x14ac:dyDescent="0.3">
      <c r="D2" s="4"/>
      <c r="E2" s="166"/>
      <c r="F2" s="3"/>
      <c r="G2" s="5"/>
      <c r="H2" s="6"/>
      <c r="I2" s="5"/>
      <c r="J2" s="7"/>
      <c r="K2" s="5"/>
      <c r="N2" s="8"/>
      <c r="O2" s="167"/>
      <c r="P2" s="168"/>
      <c r="T2" s="267"/>
      <c r="U2" s="3"/>
      <c r="V2" s="3"/>
      <c r="W2" s="3"/>
      <c r="X2" s="3"/>
      <c r="Y2" s="3"/>
      <c r="Z2" s="3"/>
      <c r="AA2" s="281"/>
      <c r="AB2" s="281"/>
      <c r="AC2" s="281"/>
      <c r="AD2" s="281"/>
      <c r="AE2" s="495"/>
      <c r="AF2" s="495" t="s">
        <v>292</v>
      </c>
    </row>
    <row r="3" spans="1:42" ht="17.25" hidden="1" customHeight="1" outlineLevel="1" x14ac:dyDescent="0.3">
      <c r="D3" s="4"/>
      <c r="E3" s="166"/>
      <c r="F3" s="3"/>
      <c r="G3" s="5"/>
      <c r="H3" s="6"/>
      <c r="I3" s="5"/>
      <c r="J3" s="7"/>
      <c r="K3" s="5"/>
      <c r="N3" s="8"/>
      <c r="O3" s="167"/>
      <c r="P3" s="168"/>
      <c r="T3" s="267"/>
      <c r="U3" s="3"/>
      <c r="V3" s="3"/>
      <c r="W3" s="3"/>
      <c r="X3" s="3"/>
      <c r="Y3" s="3"/>
      <c r="Z3" s="3"/>
      <c r="AA3" s="210"/>
      <c r="AB3" s="210"/>
      <c r="AC3" s="210"/>
      <c r="AD3" s="210"/>
      <c r="AE3" s="495"/>
      <c r="AF3" s="495" t="s">
        <v>682</v>
      </c>
    </row>
    <row r="4" spans="1:42" ht="17.399999999999999" collapsed="1" x14ac:dyDescent="0.3">
      <c r="B4" s="170" t="s">
        <v>686</v>
      </c>
    </row>
    <row r="5" spans="1:42" ht="14.4" x14ac:dyDescent="0.3">
      <c r="A5" s="368" t="s">
        <v>107</v>
      </c>
      <c r="B5" s="368"/>
      <c r="H5" s="174"/>
      <c r="I5" s="175"/>
      <c r="J5" s="174"/>
      <c r="K5" s="176"/>
      <c r="N5" s="176"/>
      <c r="O5" s="177"/>
      <c r="P5" s="177"/>
      <c r="S5" s="176"/>
      <c r="AE5" s="496"/>
    </row>
    <row r="6" spans="1:42" ht="14.4" x14ac:dyDescent="0.3">
      <c r="A6" s="368"/>
      <c r="H6" s="174"/>
      <c r="I6" s="175"/>
      <c r="J6" s="174"/>
      <c r="K6" s="176"/>
      <c r="N6" s="176"/>
      <c r="O6" s="177"/>
      <c r="P6" s="177"/>
      <c r="S6" s="176"/>
      <c r="AE6" s="496"/>
    </row>
    <row r="7" spans="1:42" ht="12.75" customHeight="1" x14ac:dyDescent="0.25">
      <c r="L7" s="1245">
        <v>1.6580000000000001E-2</v>
      </c>
      <c r="M7" s="1246">
        <v>2.5000000000000001E-3</v>
      </c>
      <c r="R7" s="92"/>
    </row>
    <row r="8" spans="1:42" ht="4.5" customHeight="1" thickBot="1" x14ac:dyDescent="0.3">
      <c r="H8" s="6"/>
      <c r="I8" s="5"/>
      <c r="J8" s="6"/>
      <c r="K8" s="5"/>
      <c r="L8" s="1247"/>
      <c r="M8" s="1244"/>
      <c r="O8" s="1243"/>
      <c r="P8" s="167"/>
      <c r="R8" s="92"/>
    </row>
    <row r="9" spans="1:42" s="20" customFormat="1" ht="36.75" customHeight="1" thickBot="1" x14ac:dyDescent="0.3">
      <c r="A9" s="1538" t="s">
        <v>108</v>
      </c>
      <c r="B9" s="1539"/>
      <c r="C9" s="356" t="s">
        <v>109</v>
      </c>
      <c r="D9" s="14" t="s">
        <v>110</v>
      </c>
      <c r="E9" s="178" t="s">
        <v>111</v>
      </c>
      <c r="F9" s="14" t="s">
        <v>111</v>
      </c>
      <c r="G9" s="14" t="s">
        <v>112</v>
      </c>
      <c r="H9" s="179" t="s">
        <v>113</v>
      </c>
      <c r="I9" s="15" t="s">
        <v>114</v>
      </c>
      <c r="J9" s="179" t="s">
        <v>115</v>
      </c>
      <c r="K9" s="15" t="s">
        <v>116</v>
      </c>
      <c r="L9" s="165" t="s">
        <v>1157</v>
      </c>
      <c r="M9" s="165" t="s">
        <v>117</v>
      </c>
      <c r="N9" s="165" t="s">
        <v>118</v>
      </c>
      <c r="O9" s="16" t="s">
        <v>119</v>
      </c>
      <c r="P9" s="17" t="s">
        <v>120</v>
      </c>
      <c r="Q9" s="18" t="s">
        <v>121</v>
      </c>
      <c r="R9" s="389" t="s">
        <v>191</v>
      </c>
      <c r="S9" s="19" t="s">
        <v>122</v>
      </c>
      <c r="T9" s="1174" t="s">
        <v>335</v>
      </c>
      <c r="U9" s="1175" t="s">
        <v>124</v>
      </c>
      <c r="V9" s="1175" t="s">
        <v>125</v>
      </c>
      <c r="W9" s="1175" t="s">
        <v>217</v>
      </c>
      <c r="X9" s="397" t="s">
        <v>273</v>
      </c>
      <c r="Y9" s="397" t="s">
        <v>274</v>
      </c>
      <c r="Z9" s="397" t="s">
        <v>314</v>
      </c>
      <c r="AA9" s="397" t="s">
        <v>336</v>
      </c>
      <c r="AB9" s="397" t="s">
        <v>374</v>
      </c>
      <c r="AC9" s="397" t="s">
        <v>681</v>
      </c>
      <c r="AD9" s="397" t="s">
        <v>1153</v>
      </c>
      <c r="AE9" s="397" t="s">
        <v>1154</v>
      </c>
      <c r="AF9" s="1240" t="s">
        <v>1155</v>
      </c>
      <c r="AG9" s="851"/>
      <c r="AH9" s="854"/>
    </row>
    <row r="10" spans="1:42" s="26" customFormat="1" x14ac:dyDescent="0.2">
      <c r="A10" s="1270">
        <v>1</v>
      </c>
      <c r="B10" s="286" t="s">
        <v>127</v>
      </c>
      <c r="C10" s="22" t="s">
        <v>128</v>
      </c>
      <c r="D10" s="21" t="s">
        <v>129</v>
      </c>
      <c r="E10" s="181" t="s">
        <v>130</v>
      </c>
      <c r="F10" s="36" t="s">
        <v>131</v>
      </c>
      <c r="G10" s="36" t="s">
        <v>243</v>
      </c>
      <c r="H10" s="182">
        <f>(2100000)*0.702804-8</f>
        <v>1475880.4</v>
      </c>
      <c r="I10" s="366">
        <f>H10/0.702804</f>
        <v>2099988.6170255151</v>
      </c>
      <c r="J10" s="182">
        <f>H10</f>
        <v>1475880.4</v>
      </c>
      <c r="K10" s="23">
        <f>J10/0.702804</f>
        <v>2099988.6170255151</v>
      </c>
      <c r="L10" s="24">
        <f>0.101%+$L$7</f>
        <v>1.7590000000000001E-2</v>
      </c>
      <c r="M10" s="39">
        <f>M7</f>
        <v>2.5000000000000001E-3</v>
      </c>
      <c r="N10" s="35">
        <v>4</v>
      </c>
      <c r="O10" s="59"/>
      <c r="P10" s="37">
        <v>0</v>
      </c>
      <c r="Q10" s="25">
        <v>2082913</v>
      </c>
      <c r="R10" s="390">
        <v>2065839</v>
      </c>
      <c r="S10" s="60" t="s">
        <v>126</v>
      </c>
      <c r="T10" s="285">
        <v>1686634</v>
      </c>
      <c r="U10" s="57">
        <v>97944.803956721938</v>
      </c>
      <c r="V10" s="57">
        <v>97944.803956721938</v>
      </c>
      <c r="W10" s="57">
        <v>97944.8</v>
      </c>
      <c r="X10" s="57">
        <v>97945.803956721895</v>
      </c>
      <c r="Y10" s="57">
        <v>97946.803956721895</v>
      </c>
      <c r="Z10" s="57">
        <v>97946.803956721895</v>
      </c>
      <c r="AA10" s="57">
        <v>97946.803956721895</v>
      </c>
      <c r="AB10" s="57">
        <v>97946.803956721895</v>
      </c>
      <c r="AC10" s="57">
        <v>97946.803956721895</v>
      </c>
      <c r="AD10" s="57">
        <v>97946.803956721895</v>
      </c>
      <c r="AE10" s="57">
        <v>707172.96438950277</v>
      </c>
      <c r="AF10" s="1176">
        <f t="shared" ref="AF10:AF41" si="0">SUM(X10:AE10)</f>
        <v>1392799.5920865559</v>
      </c>
      <c r="AG10" s="83"/>
      <c r="AH10" s="83"/>
    </row>
    <row r="11" spans="1:42" s="42" customFormat="1" ht="13.8" thickBot="1" x14ac:dyDescent="0.25">
      <c r="A11" s="1271"/>
      <c r="B11" s="287" t="s">
        <v>132</v>
      </c>
      <c r="C11" s="28"/>
      <c r="D11" s="28"/>
      <c r="E11" s="185"/>
      <c r="F11" s="40"/>
      <c r="G11" s="30"/>
      <c r="H11" s="180"/>
      <c r="I11" s="376"/>
      <c r="J11" s="180"/>
      <c r="K11" s="29"/>
      <c r="L11" s="28"/>
      <c r="M11" s="28"/>
      <c r="N11" s="28"/>
      <c r="O11" s="31"/>
      <c r="P11" s="29"/>
      <c r="Q11" s="186"/>
      <c r="R11" s="391"/>
      <c r="S11" s="33" t="s">
        <v>2</v>
      </c>
      <c r="T11" s="269"/>
      <c r="U11" s="1170">
        <f>((SUM(U10:$AE10))*($L10+$M10))</f>
        <v>33884.477059999997</v>
      </c>
      <c r="V11" s="1170">
        <f>((SUM(V10:$AE10))*($L10+$M10))</f>
        <v>31916.765948509455</v>
      </c>
      <c r="W11" s="1170">
        <f>((SUM(W10:$AE10))*($L10+$M10))</f>
        <v>29949.054837018914</v>
      </c>
      <c r="X11" s="1170">
        <f>((SUM(X10:$AE10))*($L10+$M10))</f>
        <v>27981.343805018907</v>
      </c>
      <c r="Y11" s="1170">
        <f>((SUM(Y10:$AE10))*($L10+$M10))</f>
        <v>26013.612603528367</v>
      </c>
      <c r="Z11" s="1170">
        <f>((SUM(Z10:$AE10))*($L10+$M10))</f>
        <v>24045.861312037825</v>
      </c>
      <c r="AA11" s="1170">
        <f>((SUM(AA10:$AE10))*($L10+$M10))</f>
        <v>22078.110020547283</v>
      </c>
      <c r="AB11" s="1170">
        <f>((SUM(AB10:$AE10))*($L10+$M10))</f>
        <v>20110.358729056741</v>
      </c>
      <c r="AC11" s="1170">
        <f>((SUM(AC10:$AE10))*($L10+$M10))</f>
        <v>18142.607437566196</v>
      </c>
      <c r="AD11" s="1170">
        <f>((SUM(AD10:$AE10))*($L10+$M10))</f>
        <v>16174.856146075654</v>
      </c>
      <c r="AE11" s="1170">
        <f>(((SUM(AE10:$AE10))*($L10+$M10)))*6.5</f>
        <v>92346.181554803217</v>
      </c>
      <c r="AF11" s="1177">
        <f t="shared" si="0"/>
        <v>246892.93160863419</v>
      </c>
      <c r="AG11" s="83"/>
      <c r="AH11" s="83"/>
    </row>
    <row r="12" spans="1:42" s="26" customFormat="1" x14ac:dyDescent="0.2">
      <c r="A12" s="1272">
        <v>2</v>
      </c>
      <c r="B12" s="288" t="s">
        <v>127</v>
      </c>
      <c r="C12" s="22" t="s">
        <v>133</v>
      </c>
      <c r="D12" s="52" t="s">
        <v>134</v>
      </c>
      <c r="E12" s="45">
        <v>40808</v>
      </c>
      <c r="F12" s="45">
        <v>40808</v>
      </c>
      <c r="G12" s="45" t="s">
        <v>135</v>
      </c>
      <c r="H12" s="187">
        <f>5383766.44*0.702804+874986</f>
        <v>4658718.5890977606</v>
      </c>
      <c r="I12" s="366">
        <f>H12/0.702804+1</f>
        <v>6628760.3540983843</v>
      </c>
      <c r="J12" s="187">
        <f>H12</f>
        <v>4658718.5890977606</v>
      </c>
      <c r="K12" s="23">
        <f>J12/0.702804</f>
        <v>6628759.3540983843</v>
      </c>
      <c r="L12" s="24">
        <f>0.101%+$L$7</f>
        <v>1.7590000000000001E-2</v>
      </c>
      <c r="M12" s="53">
        <f>M7</f>
        <v>2.5000000000000001E-3</v>
      </c>
      <c r="N12" s="47">
        <v>4</v>
      </c>
      <c r="O12" s="54"/>
      <c r="P12" s="55">
        <v>0</v>
      </c>
      <c r="Q12" s="25">
        <v>6355568</v>
      </c>
      <c r="R12" s="390">
        <v>6281579</v>
      </c>
      <c r="S12" s="49" t="s">
        <v>126</v>
      </c>
      <c r="T12" s="312">
        <v>4711184</v>
      </c>
      <c r="U12" s="50">
        <v>392598.78998981224</v>
      </c>
      <c r="V12" s="50">
        <v>392598.78998981224</v>
      </c>
      <c r="W12" s="50">
        <v>392598.8</v>
      </c>
      <c r="X12" s="50">
        <v>392598.78998981224</v>
      </c>
      <c r="Y12" s="50">
        <v>392598.78998981224</v>
      </c>
      <c r="Z12" s="50">
        <v>392598.78998981224</v>
      </c>
      <c r="AA12" s="50">
        <v>392598.78998981201</v>
      </c>
      <c r="AB12" s="50">
        <v>392598.78998981224</v>
      </c>
      <c r="AC12" s="50">
        <v>392598.78998981224</v>
      </c>
      <c r="AD12" s="50">
        <v>392598.78998981224</v>
      </c>
      <c r="AE12" s="50">
        <v>785196.09009168996</v>
      </c>
      <c r="AF12" s="1178">
        <f t="shared" si="0"/>
        <v>3533387.6200203756</v>
      </c>
      <c r="AG12" s="83"/>
      <c r="AH12" s="83"/>
      <c r="AI12" s="83"/>
      <c r="AJ12" s="83"/>
      <c r="AK12" s="83"/>
      <c r="AL12" s="83"/>
      <c r="AM12" s="83"/>
      <c r="AN12" s="83"/>
      <c r="AO12" s="83"/>
      <c r="AP12" s="83"/>
    </row>
    <row r="13" spans="1:42" s="42" customFormat="1" ht="13.8" thickBot="1" x14ac:dyDescent="0.25">
      <c r="A13" s="1271"/>
      <c r="B13" s="287" t="s">
        <v>136</v>
      </c>
      <c r="C13" s="28"/>
      <c r="D13" s="28"/>
      <c r="E13" s="185"/>
      <c r="F13" s="40"/>
      <c r="G13" s="30"/>
      <c r="H13" s="180"/>
      <c r="I13" s="376"/>
      <c r="J13" s="180"/>
      <c r="K13" s="29"/>
      <c r="L13" s="28"/>
      <c r="M13" s="28"/>
      <c r="N13" s="28"/>
      <c r="O13" s="31"/>
      <c r="P13" s="29"/>
      <c r="Q13" s="32"/>
      <c r="R13" s="392"/>
      <c r="S13" s="33" t="s">
        <v>2</v>
      </c>
      <c r="T13" s="269"/>
      <c r="U13" s="1170">
        <f>((SUM(U12:$AE12))*($L12+$M12))</f>
        <v>94647.686560000002</v>
      </c>
      <c r="V13" s="1170">
        <f>((SUM(V12:$AE12))*($L12+$M12))</f>
        <v>86760.376869104672</v>
      </c>
      <c r="W13" s="1170">
        <f>((SUM(W12:$AE12))*($L12+$M12))</f>
        <v>78873.067178209341</v>
      </c>
      <c r="X13" s="1170">
        <f>((SUM(X12:$AE12))*($L12+$M12))</f>
        <v>70985.757286209351</v>
      </c>
      <c r="Y13" s="1170">
        <f>((SUM(Y12:$AE12))*($L12+$M12))</f>
        <v>63098.447595314014</v>
      </c>
      <c r="Z13" s="1170">
        <f>((SUM(Z12:$AE12))*($L12+$M12))</f>
        <v>55211.137904418691</v>
      </c>
      <c r="AA13" s="1170">
        <f>((SUM(AA12:$AE12))*($L12+$M12))</f>
        <v>47323.82821352336</v>
      </c>
      <c r="AB13" s="1170">
        <f>((SUM(AB12:$AE12))*($L12+$M12))</f>
        <v>39436.518522628037</v>
      </c>
      <c r="AC13" s="1170">
        <f>((SUM(AC12:$AE12))*($L12+$M12))</f>
        <v>31549.208831732711</v>
      </c>
      <c r="AD13" s="1170">
        <f>((SUM(AD12:$AE12))*($L12+$M12))</f>
        <v>23661.89914083738</v>
      </c>
      <c r="AE13" s="1170">
        <f>((SUM(AE12:$AE12))*($L12+$M12))</f>
        <v>15774.589449942052</v>
      </c>
      <c r="AF13" s="1177">
        <f t="shared" si="0"/>
        <v>347041.38694460556</v>
      </c>
      <c r="AG13" s="83"/>
      <c r="AH13" s="83"/>
    </row>
    <row r="14" spans="1:42" s="26" customFormat="1" x14ac:dyDescent="0.2">
      <c r="A14" s="1270">
        <v>3</v>
      </c>
      <c r="B14" s="286" t="s">
        <v>137</v>
      </c>
      <c r="C14" s="22" t="s">
        <v>138</v>
      </c>
      <c r="D14" s="38" t="s">
        <v>139</v>
      </c>
      <c r="E14" s="188">
        <v>2012</v>
      </c>
      <c r="F14" s="45">
        <v>41096</v>
      </c>
      <c r="G14" s="45" t="s">
        <v>244</v>
      </c>
      <c r="H14" s="182">
        <v>612196</v>
      </c>
      <c r="I14" s="366">
        <f>H14/0.702804</f>
        <v>871076.43098217994</v>
      </c>
      <c r="J14" s="182">
        <f>H14</f>
        <v>612196</v>
      </c>
      <c r="K14" s="23">
        <f>J14/0.702804</f>
        <v>871076.43098217994</v>
      </c>
      <c r="L14" s="24">
        <f>0.105%+$L$7</f>
        <v>1.763E-2</v>
      </c>
      <c r="M14" s="39">
        <f>M7</f>
        <v>2.5000000000000001E-3</v>
      </c>
      <c r="N14" s="35">
        <v>4</v>
      </c>
      <c r="O14" s="59"/>
      <c r="P14" s="37">
        <v>0</v>
      </c>
      <c r="Q14" s="25">
        <v>856768</v>
      </c>
      <c r="R14" s="390">
        <v>828311</v>
      </c>
      <c r="S14" s="60" t="s">
        <v>126</v>
      </c>
      <c r="T14" s="285">
        <v>639883</v>
      </c>
      <c r="U14" s="57">
        <v>53323.543975276181</v>
      </c>
      <c r="V14" s="57">
        <v>53323.543975276181</v>
      </c>
      <c r="W14" s="57">
        <v>53323.56</v>
      </c>
      <c r="X14" s="57">
        <v>53323.543975276181</v>
      </c>
      <c r="Y14" s="57">
        <v>53323.543975276181</v>
      </c>
      <c r="Z14" s="57">
        <v>53323.543975276181</v>
      </c>
      <c r="AA14" s="57">
        <v>53323.543975276181</v>
      </c>
      <c r="AB14" s="57">
        <v>53323.543975276181</v>
      </c>
      <c r="AC14" s="57">
        <v>53323.543975276181</v>
      </c>
      <c r="AD14" s="57">
        <v>53323.543975276181</v>
      </c>
      <c r="AE14" s="57">
        <v>106647.54422251438</v>
      </c>
      <c r="AF14" s="1176">
        <f t="shared" si="0"/>
        <v>479912.35204944765</v>
      </c>
      <c r="AG14" s="83"/>
      <c r="AH14" s="83"/>
    </row>
    <row r="15" spans="1:42" s="42" customFormat="1" ht="13.8" thickBot="1" x14ac:dyDescent="0.25">
      <c r="A15" s="1271"/>
      <c r="B15" s="287" t="s">
        <v>140</v>
      </c>
      <c r="C15" s="28"/>
      <c r="D15" s="28"/>
      <c r="E15" s="185"/>
      <c r="F15" s="40"/>
      <c r="G15" s="30"/>
      <c r="H15" s="180"/>
      <c r="I15" s="376"/>
      <c r="J15" s="180"/>
      <c r="K15" s="29"/>
      <c r="L15" s="28"/>
      <c r="M15" s="28"/>
      <c r="N15" s="28"/>
      <c r="O15" s="31"/>
      <c r="P15" s="29"/>
      <c r="Q15" s="32"/>
      <c r="R15" s="392"/>
      <c r="S15" s="33" t="s">
        <v>2</v>
      </c>
      <c r="T15" s="269"/>
      <c r="U15" s="1170">
        <f>((SUM(U14:$AE14))*($L14+$M14))</f>
        <v>12880.844789999999</v>
      </c>
      <c r="V15" s="1170">
        <f>((SUM(V14:$AE14))*($L14+$M14))</f>
        <v>11807.44184977769</v>
      </c>
      <c r="W15" s="1170">
        <f>((SUM(W14:$AE14))*($L14+$M14))</f>
        <v>10734.03890955538</v>
      </c>
      <c r="X15" s="1170">
        <f>((SUM(X14:$AE14))*($L14+$M14))</f>
        <v>9660.6356467553815</v>
      </c>
      <c r="Y15" s="1170">
        <f>((SUM(Y14:$AE14))*($L14+$M14))</f>
        <v>8587.2327065330719</v>
      </c>
      <c r="Z15" s="1170">
        <f>((SUM(Z14:$AE14))*($L14+$M14))</f>
        <v>7513.8297663107624</v>
      </c>
      <c r="AA15" s="1170">
        <f>((SUM(AA14:$AE14))*($L14+$M14))</f>
        <v>6440.4268260884519</v>
      </c>
      <c r="AB15" s="1170">
        <f>((SUM(AB14:$AE14))*($L14+$M14))</f>
        <v>5367.0238858661423</v>
      </c>
      <c r="AC15" s="1170">
        <f>((SUM(AC14:$AE14))*($L14+$M14))</f>
        <v>4293.6209456438328</v>
      </c>
      <c r="AD15" s="1170">
        <f>((SUM(AD14:$AE14))*($L14+$M14))</f>
        <v>3220.2180054215237</v>
      </c>
      <c r="AE15" s="1170">
        <f>((SUM(AE14:$AE14))*($L14+$M14))*3</f>
        <v>6440.4451955976419</v>
      </c>
      <c r="AF15" s="1177">
        <f t="shared" si="0"/>
        <v>51523.432978216799</v>
      </c>
      <c r="AG15" s="83"/>
      <c r="AH15" s="83"/>
    </row>
    <row r="16" spans="1:42" s="26" customFormat="1" x14ac:dyDescent="0.2">
      <c r="A16" s="1270">
        <v>4</v>
      </c>
      <c r="B16" s="286" t="s">
        <v>141</v>
      </c>
      <c r="C16" s="22" t="s">
        <v>142</v>
      </c>
      <c r="D16" s="38" t="s">
        <v>143</v>
      </c>
      <c r="E16" s="188">
        <v>2012</v>
      </c>
      <c r="F16" s="45">
        <v>41604</v>
      </c>
      <c r="G16" s="51" t="s">
        <v>245</v>
      </c>
      <c r="H16" s="182">
        <v>366106</v>
      </c>
      <c r="I16" s="366">
        <f>H16/0.702804</f>
        <v>520921.90710354527</v>
      </c>
      <c r="J16" s="182">
        <f>H16</f>
        <v>366106</v>
      </c>
      <c r="K16" s="23">
        <f>J16/0.702804</f>
        <v>520921.90710354527</v>
      </c>
      <c r="L16" s="24">
        <f>0.055%+$L$7</f>
        <v>1.7129999999999999E-2</v>
      </c>
      <c r="M16" s="39">
        <f>M7</f>
        <v>2.5000000000000001E-3</v>
      </c>
      <c r="N16" s="35">
        <v>4</v>
      </c>
      <c r="O16" s="59"/>
      <c r="P16" s="37">
        <v>0</v>
      </c>
      <c r="Q16" s="25">
        <v>520922</v>
      </c>
      <c r="R16" s="390">
        <v>463059</v>
      </c>
      <c r="S16" s="60" t="s">
        <v>126</v>
      </c>
      <c r="T16" s="285">
        <v>231528</v>
      </c>
      <c r="U16" s="57">
        <v>57882.425256543786</v>
      </c>
      <c r="V16" s="57">
        <v>57882.425256543786</v>
      </c>
      <c r="W16" s="57">
        <v>57882.44</v>
      </c>
      <c r="X16" s="57">
        <v>57881</v>
      </c>
      <c r="Y16" s="184">
        <v>0</v>
      </c>
      <c r="Z16" s="184">
        <v>0</v>
      </c>
      <c r="AA16" s="184">
        <v>0</v>
      </c>
      <c r="AB16" s="184">
        <v>0</v>
      </c>
      <c r="AC16" s="184">
        <v>0</v>
      </c>
      <c r="AD16" s="184">
        <v>0</v>
      </c>
      <c r="AE16" s="184">
        <v>0</v>
      </c>
      <c r="AF16" s="1179">
        <f t="shared" si="0"/>
        <v>57881</v>
      </c>
      <c r="AG16" s="83"/>
      <c r="AH16" s="83"/>
    </row>
    <row r="17" spans="1:34" s="42" customFormat="1" ht="15" thickBot="1" x14ac:dyDescent="0.35">
      <c r="A17" s="1271"/>
      <c r="B17" s="287" t="s">
        <v>144</v>
      </c>
      <c r="C17" s="28"/>
      <c r="D17" s="28"/>
      <c r="E17" s="185"/>
      <c r="F17" s="40"/>
      <c r="G17" s="30"/>
      <c r="H17" s="180"/>
      <c r="I17" s="377"/>
      <c r="J17" s="189"/>
      <c r="K17" s="61"/>
      <c r="L17" s="28"/>
      <c r="M17" s="28"/>
      <c r="N17" s="28"/>
      <c r="O17" s="31"/>
      <c r="P17" s="29"/>
      <c r="Q17" s="32"/>
      <c r="R17" s="392"/>
      <c r="S17" s="33" t="s">
        <v>2</v>
      </c>
      <c r="T17" s="269"/>
      <c r="U17" s="1170">
        <f>((SUM(U16:$AE16))*($L16+$M16))</f>
        <v>4544.900342771909</v>
      </c>
      <c r="V17" s="1170">
        <f>((SUM(V16:$AE16))*($L16+$M16))</f>
        <v>3408.6683349859545</v>
      </c>
      <c r="W17" s="1170">
        <f>((SUM(W16:$AE16))*($L16+$M16))</f>
        <v>2272.4363272000001</v>
      </c>
      <c r="X17" s="1170">
        <f>((SUM(X16:$AE16))*($L16+$M16))</f>
        <v>1136.2040299999999</v>
      </c>
      <c r="Y17" s="1171">
        <f>((SUM(Y16:$AE16))*($L16+$M16))</f>
        <v>0</v>
      </c>
      <c r="Z17" s="1171">
        <f>((SUM(Z16:$AE16))*($L16+$M16))</f>
        <v>0</v>
      </c>
      <c r="AA17" s="1171">
        <f>((SUM(AA16:$AE16))*($L16+$M16))</f>
        <v>0</v>
      </c>
      <c r="AB17" s="1171">
        <f>((SUM(AB16:$AE16))*($L16+$M16))</f>
        <v>0</v>
      </c>
      <c r="AC17" s="1171">
        <f>((SUM(AC16:$AE16))*($L16+$M16))</f>
        <v>0</v>
      </c>
      <c r="AD17" s="1171">
        <f>((SUM(AD16:$AE16))*($L16+$M16))</f>
        <v>0</v>
      </c>
      <c r="AE17" s="1171">
        <f>((SUM(AE16:$AE16))*($L16+$M16))</f>
        <v>0</v>
      </c>
      <c r="AF17" s="1177">
        <f t="shared" si="0"/>
        <v>1136.2040299999999</v>
      </c>
      <c r="AG17" s="83"/>
      <c r="AH17" s="83"/>
    </row>
    <row r="18" spans="1:34" s="242" customFormat="1" x14ac:dyDescent="0.2">
      <c r="A18" s="1270">
        <v>5</v>
      </c>
      <c r="B18" s="286" t="s">
        <v>249</v>
      </c>
      <c r="C18" s="228" t="s">
        <v>255</v>
      </c>
      <c r="D18" s="229" t="s">
        <v>252</v>
      </c>
      <c r="E18" s="230" t="s">
        <v>253</v>
      </c>
      <c r="F18" s="231" t="s">
        <v>253</v>
      </c>
      <c r="G18" s="232" t="s">
        <v>254</v>
      </c>
      <c r="H18" s="233"/>
      <c r="I18" s="378">
        <v>1925611</v>
      </c>
      <c r="J18" s="233"/>
      <c r="K18" s="234">
        <f>J18/0.702804</f>
        <v>0</v>
      </c>
      <c r="L18" s="24">
        <f>0.105%+$L$7</f>
        <v>1.763E-2</v>
      </c>
      <c r="M18" s="235">
        <f>M7</f>
        <v>2.5000000000000001E-3</v>
      </c>
      <c r="N18" s="236">
        <v>4</v>
      </c>
      <c r="O18" s="237"/>
      <c r="P18" s="238">
        <v>0</v>
      </c>
      <c r="Q18" s="239"/>
      <c r="R18" s="393"/>
      <c r="S18" s="240" t="s">
        <v>126</v>
      </c>
      <c r="T18" s="313">
        <v>1660050</v>
      </c>
      <c r="U18" s="241">
        <v>132804</v>
      </c>
      <c r="V18" s="241">
        <v>132804</v>
      </c>
      <c r="W18" s="241">
        <v>132804</v>
      </c>
      <c r="X18" s="241">
        <v>132804</v>
      </c>
      <c r="Y18" s="241">
        <v>132804</v>
      </c>
      <c r="Z18" s="241">
        <v>132804</v>
      </c>
      <c r="AA18" s="241">
        <v>132804</v>
      </c>
      <c r="AB18" s="241">
        <v>132804</v>
      </c>
      <c r="AC18" s="241">
        <v>132804</v>
      </c>
      <c r="AD18" s="241">
        <v>132804</v>
      </c>
      <c r="AE18" s="241">
        <v>332010</v>
      </c>
      <c r="AF18" s="1176">
        <f t="shared" si="0"/>
        <v>1261638</v>
      </c>
      <c r="AG18" s="83"/>
      <c r="AH18" s="83"/>
    </row>
    <row r="19" spans="1:34" s="254" customFormat="1" ht="15" thickBot="1" x14ac:dyDescent="0.35">
      <c r="A19" s="1271"/>
      <c r="B19" s="287" t="s">
        <v>250</v>
      </c>
      <c r="C19" s="243"/>
      <c r="D19" s="243"/>
      <c r="E19" s="244"/>
      <c r="F19" s="245"/>
      <c r="G19" s="246"/>
      <c r="H19" s="247"/>
      <c r="I19" s="379"/>
      <c r="J19" s="248"/>
      <c r="K19" s="249"/>
      <c r="L19" s="243"/>
      <c r="M19" s="243"/>
      <c r="N19" s="243"/>
      <c r="O19" s="250"/>
      <c r="P19" s="251"/>
      <c r="Q19" s="252"/>
      <c r="R19" s="394"/>
      <c r="S19" s="253" t="s">
        <v>2</v>
      </c>
      <c r="T19" s="284"/>
      <c r="U19" s="1170">
        <f>((SUM(U18:$AE18))*($L18+$M18))</f>
        <v>33416.806499999999</v>
      </c>
      <c r="V19" s="1170">
        <f>((SUM(V18:$AE18))*($L18+$M18))</f>
        <v>30743.461979999996</v>
      </c>
      <c r="W19" s="1170">
        <f>((SUM(W18:$AE18))*($L18+$M18))</f>
        <v>28070.117459999998</v>
      </c>
      <c r="X19" s="1170">
        <f>((SUM(X18:$AE18))*($L18+$M18))</f>
        <v>25396.772939999999</v>
      </c>
      <c r="Y19" s="1170">
        <f>((SUM(Y18:$AE18))*($L18+$M18))</f>
        <v>22723.42842</v>
      </c>
      <c r="Z19" s="1170">
        <f>((SUM(Z18:$AE18))*($L18+$M18))</f>
        <v>20050.083899999998</v>
      </c>
      <c r="AA19" s="1170">
        <f>((SUM(AA18:$AE18))*($L18+$M18))</f>
        <v>17376.739379999999</v>
      </c>
      <c r="AB19" s="1170">
        <f>((SUM(AB18:$AE18))*($L18+$M18))</f>
        <v>14703.394859999999</v>
      </c>
      <c r="AC19" s="1170">
        <f>((SUM(AC18:$AE18))*($L18+$M18))</f>
        <v>12030.05034</v>
      </c>
      <c r="AD19" s="1170">
        <f>((SUM(AD18:$AE18))*($L18+$M18))</f>
        <v>9356.7058199999992</v>
      </c>
      <c r="AE19" s="1170">
        <f>((SUM(AE18:$AE18))*($L18+$M18))*3</f>
        <v>20050.083899999998</v>
      </c>
      <c r="AF19" s="1177">
        <f t="shared" si="0"/>
        <v>141687.25956000001</v>
      </c>
      <c r="AG19" s="83"/>
      <c r="AH19" s="83"/>
    </row>
    <row r="20" spans="1:34" s="26" customFormat="1" x14ac:dyDescent="0.2">
      <c r="A20" s="1270">
        <v>6</v>
      </c>
      <c r="B20" s="286" t="s">
        <v>215</v>
      </c>
      <c r="C20" s="228" t="s">
        <v>269</v>
      </c>
      <c r="D20" s="229" t="s">
        <v>270</v>
      </c>
      <c r="E20" s="260" t="s">
        <v>271</v>
      </c>
      <c r="F20" s="260" t="s">
        <v>271</v>
      </c>
      <c r="G20" s="211" t="s">
        <v>272</v>
      </c>
      <c r="H20" s="182"/>
      <c r="I20" s="366">
        <v>154450.12</v>
      </c>
      <c r="J20" s="182"/>
      <c r="K20" s="23">
        <f>J20/0.702804</f>
        <v>0</v>
      </c>
      <c r="L20" s="24">
        <f>0.055%+$L$7</f>
        <v>1.7129999999999999E-2</v>
      </c>
      <c r="M20" s="39">
        <f>M7</f>
        <v>2.5000000000000001E-3</v>
      </c>
      <c r="N20" s="35">
        <v>4</v>
      </c>
      <c r="O20" s="59"/>
      <c r="P20" s="37">
        <v>0</v>
      </c>
      <c r="Q20" s="25"/>
      <c r="R20" s="390"/>
      <c r="S20" s="60" t="s">
        <v>126</v>
      </c>
      <c r="T20" s="285">
        <v>133518</v>
      </c>
      <c r="U20" s="57">
        <v>10472</v>
      </c>
      <c r="V20" s="57">
        <v>10472</v>
      </c>
      <c r="W20" s="57">
        <v>10472</v>
      </c>
      <c r="X20" s="57">
        <v>10472</v>
      </c>
      <c r="Y20" s="57">
        <v>10472</v>
      </c>
      <c r="Z20" s="57">
        <v>10472</v>
      </c>
      <c r="AA20" s="57">
        <v>10472</v>
      </c>
      <c r="AB20" s="57">
        <v>10472</v>
      </c>
      <c r="AC20" s="57">
        <v>10472</v>
      </c>
      <c r="AD20" s="57">
        <v>10472</v>
      </c>
      <c r="AE20" s="57">
        <v>28798</v>
      </c>
      <c r="AF20" s="1176">
        <f t="shared" si="0"/>
        <v>102102</v>
      </c>
      <c r="AG20" s="83"/>
      <c r="AH20" s="83"/>
    </row>
    <row r="21" spans="1:34" s="42" customFormat="1" ht="15" thickBot="1" x14ac:dyDescent="0.35">
      <c r="A21" s="1271"/>
      <c r="B21" s="287" t="s">
        <v>251</v>
      </c>
      <c r="C21" s="28"/>
      <c r="D21" s="28"/>
      <c r="E21" s="185"/>
      <c r="F21" s="40"/>
      <c r="G21" s="30"/>
      <c r="H21" s="180"/>
      <c r="I21" s="377"/>
      <c r="J21" s="189"/>
      <c r="K21" s="61"/>
      <c r="L21" s="28"/>
      <c r="M21" s="28"/>
      <c r="N21" s="28"/>
      <c r="O21" s="31"/>
      <c r="P21" s="29"/>
      <c r="Q21" s="32"/>
      <c r="R21" s="392"/>
      <c r="S21" s="33" t="s">
        <v>2</v>
      </c>
      <c r="T21" s="269"/>
      <c r="U21" s="1170">
        <f>((SUM(U20:$AE20))*($L20+$M20))</f>
        <v>2620.9583399999997</v>
      </c>
      <c r="V21" s="1170">
        <f>((SUM(V20:$AE20))*($L20+$M20))</f>
        <v>2415.3929799999996</v>
      </c>
      <c r="W21" s="1170">
        <f>((SUM(W20:$AE20))*($L20+$M20))</f>
        <v>2209.8276199999996</v>
      </c>
      <c r="X21" s="1170">
        <f>((SUM(X20:$AE20))*($L20+$M20))</f>
        <v>2004.2622599999997</v>
      </c>
      <c r="Y21" s="1170">
        <f>((SUM(Y20:$AE20))*($L20+$M20))</f>
        <v>1798.6968999999999</v>
      </c>
      <c r="Z21" s="1170">
        <f>((SUM(Z20:$AE20))*($L20+$M20))</f>
        <v>1593.1315399999999</v>
      </c>
      <c r="AA21" s="1170">
        <f>((SUM(AA20:$AE20))*($L20+$M20))</f>
        <v>1387.5661799999998</v>
      </c>
      <c r="AB21" s="1170">
        <f>((SUM(AB20:$AE20))*($L20+$M20))</f>
        <v>1182.00082</v>
      </c>
      <c r="AC21" s="1170">
        <f>((SUM(AC20:$AE20))*($L20+$M20))</f>
        <v>976.43545999999992</v>
      </c>
      <c r="AD21" s="1170">
        <f>((SUM(AD20:$AE20))*($L20+$M20))</f>
        <v>770.87009999999998</v>
      </c>
      <c r="AE21" s="1170">
        <f>((SUM(AE20:$AE20))*($L20+$M20))*3</f>
        <v>1695.9142199999997</v>
      </c>
      <c r="AF21" s="1177">
        <f t="shared" si="0"/>
        <v>11408.877479999999</v>
      </c>
      <c r="AG21" s="83"/>
      <c r="AH21" s="83"/>
    </row>
    <row r="22" spans="1:34" s="42" customFormat="1" ht="14.4" x14ac:dyDescent="0.3">
      <c r="A22" s="1272">
        <v>7</v>
      </c>
      <c r="B22" s="288" t="s">
        <v>240</v>
      </c>
      <c r="C22" s="47" t="s">
        <v>263</v>
      </c>
      <c r="D22" s="47" t="s">
        <v>257</v>
      </c>
      <c r="E22" s="255" t="s">
        <v>256</v>
      </c>
      <c r="F22" s="56" t="s">
        <v>256</v>
      </c>
      <c r="G22" s="211" t="s">
        <v>268</v>
      </c>
      <c r="H22" s="187"/>
      <c r="I22" s="380">
        <f>46627+88266</f>
        <v>134893</v>
      </c>
      <c r="J22" s="256"/>
      <c r="K22" s="61"/>
      <c r="L22" s="24">
        <f>0.055%+$L$7</f>
        <v>1.7129999999999999E-2</v>
      </c>
      <c r="M22" s="39">
        <f>M7</f>
        <v>2.5000000000000001E-3</v>
      </c>
      <c r="N22" s="47"/>
      <c r="O22" s="54"/>
      <c r="P22" s="55"/>
      <c r="Q22" s="48"/>
      <c r="R22" s="395"/>
      <c r="S22" s="60" t="s">
        <v>126</v>
      </c>
      <c r="T22" s="314">
        <v>89936</v>
      </c>
      <c r="U22" s="257">
        <v>25696</v>
      </c>
      <c r="V22" s="257">
        <v>25696</v>
      </c>
      <c r="W22" s="257">
        <v>25696</v>
      </c>
      <c r="X22" s="257">
        <v>12848</v>
      </c>
      <c r="Y22" s="184">
        <v>0</v>
      </c>
      <c r="Z22" s="184">
        <v>0</v>
      </c>
      <c r="AA22" s="184">
        <v>0</v>
      </c>
      <c r="AB22" s="184">
        <v>0</v>
      </c>
      <c r="AC22" s="184">
        <v>0</v>
      </c>
      <c r="AD22" s="184">
        <v>0</v>
      </c>
      <c r="AE22" s="184">
        <v>0</v>
      </c>
      <c r="AF22" s="1176">
        <f t="shared" si="0"/>
        <v>12848</v>
      </c>
      <c r="AG22" s="83"/>
      <c r="AH22" s="1312"/>
    </row>
    <row r="23" spans="1:34" s="42" customFormat="1" ht="15" thickBot="1" x14ac:dyDescent="0.35">
      <c r="A23" s="1271"/>
      <c r="B23" s="287"/>
      <c r="C23" s="28"/>
      <c r="D23" s="28"/>
      <c r="E23" s="185"/>
      <c r="F23" s="40" t="s">
        <v>265</v>
      </c>
      <c r="G23" s="30"/>
      <c r="H23" s="180"/>
      <c r="I23" s="376" t="s">
        <v>260</v>
      </c>
      <c r="J23" s="258"/>
      <c r="K23" s="259"/>
      <c r="L23" s="28"/>
      <c r="M23" s="28"/>
      <c r="N23" s="28"/>
      <c r="O23" s="31"/>
      <c r="P23" s="29"/>
      <c r="Q23" s="32"/>
      <c r="R23" s="392"/>
      <c r="S23" s="33" t="s">
        <v>2</v>
      </c>
      <c r="T23" s="269"/>
      <c r="U23" s="1170">
        <f>((SUM(U22:$AE22))*($L22+$M22))</f>
        <v>1765.4436799999999</v>
      </c>
      <c r="V23" s="1170">
        <f>((SUM(V22:$AE22))*($L22+$M22))</f>
        <v>1261.0311999999999</v>
      </c>
      <c r="W23" s="1170">
        <f>((SUM(W22:$AE22))*($L22+$M22))</f>
        <v>756.61871999999994</v>
      </c>
      <c r="X23" s="1170">
        <f>((SUM(X22:$AE22))*($L22+$M22))</f>
        <v>252.20623999999998</v>
      </c>
      <c r="Y23" s="1171">
        <f>((SUM(Y22:$AE22))*($L22+$M22))</f>
        <v>0</v>
      </c>
      <c r="Z23" s="1171">
        <f>((SUM(Z22:$AE22))*($L22+$M22))</f>
        <v>0</v>
      </c>
      <c r="AA23" s="1171">
        <f>((SUM(AA22:$AE22))*($L22+$M22))</f>
        <v>0</v>
      </c>
      <c r="AB23" s="1171">
        <f>((SUM(AB22:$AE22))*($L22+$M22))</f>
        <v>0</v>
      </c>
      <c r="AC23" s="1171">
        <f>((SUM(AC22:$AE22))*($L22+$M22))</f>
        <v>0</v>
      </c>
      <c r="AD23" s="1171">
        <f>((SUM(AD22:$AE22))*($L22+$M22))</f>
        <v>0</v>
      </c>
      <c r="AE23" s="1171">
        <f>((SUM(AE22:$AE22))*($L22+$M22))</f>
        <v>0</v>
      </c>
      <c r="AF23" s="1177">
        <f t="shared" si="0"/>
        <v>252.20623999999998</v>
      </c>
      <c r="AG23" s="83"/>
      <c r="AH23" s="83"/>
    </row>
    <row r="24" spans="1:34" s="26" customFormat="1" ht="13.8" hidden="1" outlineLevel="1" thickBot="1" x14ac:dyDescent="0.25">
      <c r="A24" s="1273"/>
      <c r="B24" s="286" t="s">
        <v>214</v>
      </c>
      <c r="C24" s="22" t="s">
        <v>247</v>
      </c>
      <c r="D24" s="38" t="s">
        <v>248</v>
      </c>
      <c r="E24" s="45" t="s">
        <v>224</v>
      </c>
      <c r="F24" s="45" t="s">
        <v>224</v>
      </c>
      <c r="G24" s="211" t="s">
        <v>246</v>
      </c>
      <c r="H24" s="182"/>
      <c r="I24" s="366">
        <v>330753</v>
      </c>
      <c r="J24" s="182"/>
      <c r="K24" s="23">
        <f>J24/0.702804</f>
        <v>0</v>
      </c>
      <c r="L24" s="58">
        <f>0.101%+L7</f>
        <v>1.7590000000000001E-2</v>
      </c>
      <c r="M24" s="39">
        <f>M7</f>
        <v>2.5000000000000001E-3</v>
      </c>
      <c r="N24" s="35">
        <v>4</v>
      </c>
      <c r="O24" s="59"/>
      <c r="P24" s="37">
        <v>0</v>
      </c>
      <c r="Q24" s="25"/>
      <c r="R24" s="390"/>
      <c r="S24" s="60" t="s">
        <v>126</v>
      </c>
      <c r="T24" s="285">
        <v>164592</v>
      </c>
      <c r="U24" s="57">
        <v>82296</v>
      </c>
      <c r="V24" s="57">
        <v>82296</v>
      </c>
      <c r="W24" s="184">
        <v>0</v>
      </c>
      <c r="X24" s="184">
        <v>0</v>
      </c>
      <c r="Y24" s="184">
        <v>0</v>
      </c>
      <c r="Z24" s="184">
        <v>0</v>
      </c>
      <c r="AA24" s="184">
        <v>0</v>
      </c>
      <c r="AB24" s="184">
        <v>0</v>
      </c>
      <c r="AC24" s="184">
        <v>0</v>
      </c>
      <c r="AD24" s="184">
        <v>0</v>
      </c>
      <c r="AE24" s="184">
        <v>0</v>
      </c>
      <c r="AF24" s="1176">
        <f t="shared" si="0"/>
        <v>0</v>
      </c>
      <c r="AG24" s="83"/>
      <c r="AH24" s="83"/>
    </row>
    <row r="25" spans="1:34" s="42" customFormat="1" ht="15" hidden="1" outlineLevel="1" thickBot="1" x14ac:dyDescent="0.35">
      <c r="A25" s="1271"/>
      <c r="B25" s="212" t="s">
        <v>219</v>
      </c>
      <c r="C25" s="28"/>
      <c r="D25" s="28"/>
      <c r="E25" s="185"/>
      <c r="F25" s="40"/>
      <c r="G25" s="30"/>
      <c r="H25" s="180"/>
      <c r="I25" s="377"/>
      <c r="J25" s="189"/>
      <c r="K25" s="61"/>
      <c r="L25" s="28"/>
      <c r="M25" s="28"/>
      <c r="N25" s="28"/>
      <c r="O25" s="31"/>
      <c r="P25" s="29"/>
      <c r="Q25" s="32"/>
      <c r="R25" s="392"/>
      <c r="S25" s="33" t="s">
        <v>2</v>
      </c>
      <c r="T25" s="269"/>
      <c r="U25" s="1170">
        <f>((SUM(U24:$AE24))*($L24+$M24))</f>
        <v>3306.65328</v>
      </c>
      <c r="V25" s="1170">
        <f>((SUM(V24:$AE24))*($L24+$M24))</f>
        <v>1653.32664</v>
      </c>
      <c r="W25" s="1171">
        <f>((SUM(W24:$AE24))*($L24+$M24))</f>
        <v>0</v>
      </c>
      <c r="X25" s="1171">
        <f>((SUM(X24:$AE24))*($L24+$M24))</f>
        <v>0</v>
      </c>
      <c r="Y25" s="1171">
        <f>((SUM(Y24:$AE24))*($L24+$M24))</f>
        <v>0</v>
      </c>
      <c r="Z25" s="1171">
        <f>((SUM(Z24:$AE24))*($L24+$M24))</f>
        <v>0</v>
      </c>
      <c r="AA25" s="1171">
        <f>((SUM(AA24:$AE24))*($L24+$M24))</f>
        <v>0</v>
      </c>
      <c r="AB25" s="1171">
        <f>((SUM(AB24:$AE24))*($L24+$M24))</f>
        <v>0</v>
      </c>
      <c r="AC25" s="1171">
        <f>((SUM(AC24:$AE24))*($L24+$M24))</f>
        <v>0</v>
      </c>
      <c r="AD25" s="1171">
        <f>((SUM(AD24:$AE24))*($L24+$M24))</f>
        <v>0</v>
      </c>
      <c r="AE25" s="1171">
        <f>((SUM(AE24:$AE24))*($L24+$M24))</f>
        <v>0</v>
      </c>
      <c r="AF25" s="1177">
        <f t="shared" si="0"/>
        <v>0</v>
      </c>
      <c r="AG25" s="83"/>
      <c r="AH25" s="83"/>
    </row>
    <row r="26" spans="1:34" s="42" customFormat="1" ht="13.8" hidden="1" outlineLevel="1" thickBot="1" x14ac:dyDescent="0.25">
      <c r="A26" s="1273" t="s">
        <v>34</v>
      </c>
      <c r="B26" s="288" t="s">
        <v>214</v>
      </c>
      <c r="C26" s="47" t="s">
        <v>276</v>
      </c>
      <c r="D26" s="47" t="s">
        <v>264</v>
      </c>
      <c r="E26" s="56" t="s">
        <v>275</v>
      </c>
      <c r="F26" s="56" t="s">
        <v>275</v>
      </c>
      <c r="G26" s="211" t="s">
        <v>267</v>
      </c>
      <c r="H26" s="187"/>
      <c r="I26" s="380">
        <v>32850</v>
      </c>
      <c r="J26" s="187"/>
      <c r="K26" s="61"/>
      <c r="L26" s="58">
        <f>0.101%+L7</f>
        <v>1.7590000000000001E-2</v>
      </c>
      <c r="M26" s="39">
        <f>M7</f>
        <v>2.5000000000000001E-3</v>
      </c>
      <c r="N26" s="47"/>
      <c r="O26" s="54"/>
      <c r="P26" s="55"/>
      <c r="Q26" s="48"/>
      <c r="R26" s="395"/>
      <c r="S26" s="49" t="s">
        <v>126</v>
      </c>
      <c r="T26" s="315">
        <v>20075</v>
      </c>
      <c r="U26" s="257">
        <v>7300</v>
      </c>
      <c r="V26" s="257">
        <v>7300</v>
      </c>
      <c r="W26" s="257">
        <v>5475</v>
      </c>
      <c r="X26" s="184">
        <v>0</v>
      </c>
      <c r="Y26" s="184">
        <v>0</v>
      </c>
      <c r="Z26" s="184">
        <v>0</v>
      </c>
      <c r="AA26" s="184">
        <v>0</v>
      </c>
      <c r="AB26" s="184">
        <v>0</v>
      </c>
      <c r="AC26" s="184">
        <v>0</v>
      </c>
      <c r="AD26" s="184">
        <v>0</v>
      </c>
      <c r="AE26" s="184">
        <v>0</v>
      </c>
      <c r="AF26" s="1176">
        <f t="shared" si="0"/>
        <v>0</v>
      </c>
      <c r="AG26" s="83"/>
      <c r="AH26" s="83"/>
    </row>
    <row r="27" spans="1:34" s="42" customFormat="1" ht="15" hidden="1" outlineLevel="1" thickBot="1" x14ac:dyDescent="0.35">
      <c r="A27" s="1271"/>
      <c r="B27" s="212" t="s">
        <v>293</v>
      </c>
      <c r="C27" s="28"/>
      <c r="D27" s="28"/>
      <c r="E27" s="185"/>
      <c r="F27" s="40"/>
      <c r="G27" s="30"/>
      <c r="H27" s="180"/>
      <c r="I27" s="376"/>
      <c r="J27" s="258"/>
      <c r="K27" s="259"/>
      <c r="L27" s="28"/>
      <c r="M27" s="28"/>
      <c r="N27" s="28"/>
      <c r="O27" s="31"/>
      <c r="P27" s="29"/>
      <c r="Q27" s="32"/>
      <c r="R27" s="392"/>
      <c r="S27" s="33" t="s">
        <v>2</v>
      </c>
      <c r="T27" s="269"/>
      <c r="U27" s="1170">
        <f>((SUM(U26:$AE26))*($L26+$M26))</f>
        <v>403.30675000000002</v>
      </c>
      <c r="V27" s="1170">
        <f>((SUM(V26:$AE26))*($L26+$M26))</f>
        <v>256.64974999999998</v>
      </c>
      <c r="W27" s="1170">
        <f>((SUM(W26:$AE26))*($L26+$M26))</f>
        <v>109.99275</v>
      </c>
      <c r="X27" s="1171">
        <f>((SUM(X26:$AE26))*($L26+$M26))</f>
        <v>0</v>
      </c>
      <c r="Y27" s="1171">
        <f>((SUM(Y26:$AE26))*($L26+$M26))</f>
        <v>0</v>
      </c>
      <c r="Z27" s="1171">
        <f>((SUM(Z26:$AE26))*($L26+$M26))</f>
        <v>0</v>
      </c>
      <c r="AA27" s="1171">
        <f>((SUM(AA26:$AE26))*($L26+$M26))</f>
        <v>0</v>
      </c>
      <c r="AB27" s="1171">
        <f>((SUM(AB26:$AE26))*($L26+$M26))</f>
        <v>0</v>
      </c>
      <c r="AC27" s="1171">
        <f>((SUM(AC26:$AE26))*($L26+$M26))</f>
        <v>0</v>
      </c>
      <c r="AD27" s="1171">
        <f>((SUM(AD26:$AE26))*($L26+$M26))</f>
        <v>0</v>
      </c>
      <c r="AE27" s="1171">
        <f>((SUM(AE26:$AE26))*($L26+$M26))</f>
        <v>0</v>
      </c>
      <c r="AF27" s="1177">
        <f t="shared" si="0"/>
        <v>0</v>
      </c>
      <c r="AG27" s="83"/>
      <c r="AH27" s="83"/>
    </row>
    <row r="28" spans="1:34" s="42" customFormat="1" collapsed="1" x14ac:dyDescent="0.2">
      <c r="A28" s="1272" t="s">
        <v>35</v>
      </c>
      <c r="B28" s="286" t="s">
        <v>214</v>
      </c>
      <c r="C28" s="35" t="s">
        <v>295</v>
      </c>
      <c r="D28" s="35" t="s">
        <v>296</v>
      </c>
      <c r="E28" s="183" t="s">
        <v>294</v>
      </c>
      <c r="F28" s="183" t="s">
        <v>294</v>
      </c>
      <c r="G28" s="283" t="s">
        <v>308</v>
      </c>
      <c r="H28" s="182"/>
      <c r="I28" s="381">
        <v>11123368</v>
      </c>
      <c r="J28" s="182"/>
      <c r="K28" s="23">
        <f>J28/0.702804</f>
        <v>0</v>
      </c>
      <c r="L28" s="58">
        <f>0.055%+$L$7</f>
        <v>1.7129999999999999E-2</v>
      </c>
      <c r="M28" s="39">
        <f>M7</f>
        <v>2.5000000000000001E-3</v>
      </c>
      <c r="N28" s="35">
        <v>4</v>
      </c>
      <c r="O28" s="59"/>
      <c r="P28" s="37">
        <v>0</v>
      </c>
      <c r="Q28" s="25"/>
      <c r="R28" s="390"/>
      <c r="S28" s="60" t="s">
        <v>126</v>
      </c>
      <c r="T28" s="285">
        <v>10791159</v>
      </c>
      <c r="U28" s="57">
        <v>0</v>
      </c>
      <c r="V28" s="57">
        <v>824409</v>
      </c>
      <c r="W28" s="57">
        <v>379984</v>
      </c>
      <c r="X28" s="57">
        <v>379984</v>
      </c>
      <c r="Y28" s="57">
        <v>379984</v>
      </c>
      <c r="Z28" s="57">
        <v>379984</v>
      </c>
      <c r="AA28" s="57">
        <v>379984</v>
      </c>
      <c r="AB28" s="57">
        <v>379984</v>
      </c>
      <c r="AC28" s="57">
        <v>379984</v>
      </c>
      <c r="AD28" s="57">
        <v>379984</v>
      </c>
      <c r="AE28" s="57">
        <v>6926878</v>
      </c>
      <c r="AF28" s="1176">
        <f t="shared" si="0"/>
        <v>9586766</v>
      </c>
      <c r="AG28" s="83"/>
      <c r="AH28" s="83"/>
    </row>
    <row r="29" spans="1:34" s="42" customFormat="1" ht="15" thickBot="1" x14ac:dyDescent="0.35">
      <c r="A29" s="1271"/>
      <c r="B29" s="212" t="s">
        <v>301</v>
      </c>
      <c r="C29" s="28" t="s">
        <v>300</v>
      </c>
      <c r="D29" s="28"/>
      <c r="E29" s="185"/>
      <c r="F29" s="40"/>
      <c r="G29" s="30"/>
      <c r="H29" s="180"/>
      <c r="I29" s="377"/>
      <c r="J29" s="258"/>
      <c r="K29" s="259"/>
      <c r="L29" s="28"/>
      <c r="M29" s="28"/>
      <c r="N29" s="28"/>
      <c r="O29" s="31"/>
      <c r="P29" s="29"/>
      <c r="Q29" s="32"/>
      <c r="R29" s="392"/>
      <c r="S29" s="33" t="s">
        <v>2</v>
      </c>
      <c r="T29" s="269"/>
      <c r="U29" s="34"/>
      <c r="V29" s="1170">
        <f>((SUM(V28:$AE28))*($L28+$M28))</f>
        <v>211830.45116999999</v>
      </c>
      <c r="W29" s="1170">
        <f>((SUM(W28:$AE28))*($L28+$M28))</f>
        <v>195647.30249999999</v>
      </c>
      <c r="X29" s="1170">
        <f>((SUM(X28:$AE28))*($L28+$M28))</f>
        <v>188188.21657999998</v>
      </c>
      <c r="Y29" s="1170">
        <f>((SUM(Y28:$AE28))*($L28+$M28))</f>
        <v>180729.13066</v>
      </c>
      <c r="Z29" s="1170">
        <f>((SUM(Z28:$AE28))*($L28+$M28))</f>
        <v>173270.04473999998</v>
      </c>
      <c r="AA29" s="1170">
        <f>((SUM(AA28:$AE28))*($L28+$M28))</f>
        <v>165810.95881999997</v>
      </c>
      <c r="AB29" s="1170">
        <f>((SUM(AB28:$AE28))*($L28+$M28))</f>
        <v>158351.87289999999</v>
      </c>
      <c r="AC29" s="1170">
        <f>((SUM(AC28:$AE28))*($L28+$M28))</f>
        <v>150892.78697999998</v>
      </c>
      <c r="AD29" s="1170">
        <f>((SUM(AD28:$AE28))*($L28+$M28))</f>
        <v>143433.70105999999</v>
      </c>
      <c r="AE29" s="1170">
        <f>((SUM(AE28:$AE28))*($L28+$M28))*18</f>
        <v>2447543.0725199995</v>
      </c>
      <c r="AF29" s="1177">
        <f t="shared" si="0"/>
        <v>3608219.7842599992</v>
      </c>
      <c r="AG29" s="83"/>
      <c r="AH29" s="83"/>
    </row>
    <row r="30" spans="1:34" s="42" customFormat="1" x14ac:dyDescent="0.2">
      <c r="A30" s="1270" t="s">
        <v>36</v>
      </c>
      <c r="B30" s="286" t="s">
        <v>214</v>
      </c>
      <c r="C30" s="35" t="s">
        <v>338</v>
      </c>
      <c r="D30" s="35" t="s">
        <v>339</v>
      </c>
      <c r="E30" s="316"/>
      <c r="F30" s="183" t="s">
        <v>344</v>
      </c>
      <c r="G30" s="283" t="s">
        <v>345</v>
      </c>
      <c r="H30" s="182"/>
      <c r="I30" s="381">
        <f>2405442+170925.8</f>
        <v>2576367.7999999998</v>
      </c>
      <c r="J30" s="182"/>
      <c r="K30" s="23">
        <f>J30/0.702804</f>
        <v>0</v>
      </c>
      <c r="L30" s="24">
        <f>0.105%+$L$7</f>
        <v>1.763E-2</v>
      </c>
      <c r="M30" s="39">
        <f>M7</f>
        <v>2.5000000000000001E-3</v>
      </c>
      <c r="N30" s="35">
        <v>4</v>
      </c>
      <c r="O30" s="59"/>
      <c r="P30" s="37">
        <v>0</v>
      </c>
      <c r="Q30" s="25"/>
      <c r="R30" s="390"/>
      <c r="S30" s="60" t="s">
        <v>126</v>
      </c>
      <c r="T30" s="57"/>
      <c r="U30" s="57">
        <v>0</v>
      </c>
      <c r="V30" s="57">
        <v>23994</v>
      </c>
      <c r="W30" s="57">
        <v>96316</v>
      </c>
      <c r="X30" s="57">
        <v>89924</v>
      </c>
      <c r="Y30" s="57">
        <v>89924</v>
      </c>
      <c r="Z30" s="57">
        <v>89924</v>
      </c>
      <c r="AA30" s="57">
        <v>96316</v>
      </c>
      <c r="AB30" s="57">
        <v>96316</v>
      </c>
      <c r="AC30" s="57">
        <v>96316</v>
      </c>
      <c r="AD30" s="57">
        <v>96316</v>
      </c>
      <c r="AE30" s="57">
        <v>1801021.7999999998</v>
      </c>
      <c r="AF30" s="1176">
        <f t="shared" si="0"/>
        <v>2456057.7999999998</v>
      </c>
      <c r="AG30" s="83"/>
      <c r="AH30" s="83"/>
    </row>
    <row r="31" spans="1:34" s="42" customFormat="1" ht="15" thickBot="1" x14ac:dyDescent="0.35">
      <c r="A31" s="1271"/>
      <c r="B31" s="212" t="s">
        <v>340</v>
      </c>
      <c r="C31" s="28"/>
      <c r="D31" s="28"/>
      <c r="E31" s="185"/>
      <c r="F31" s="40"/>
      <c r="G31" s="30"/>
      <c r="H31" s="180"/>
      <c r="I31" s="377"/>
      <c r="J31" s="258"/>
      <c r="K31" s="259"/>
      <c r="L31" s="1242" t="s">
        <v>1519</v>
      </c>
      <c r="M31" s="28"/>
      <c r="N31" s="28"/>
      <c r="O31" s="31"/>
      <c r="P31" s="29"/>
      <c r="Q31" s="32"/>
      <c r="R31" s="392"/>
      <c r="S31" s="33" t="s">
        <v>2</v>
      </c>
      <c r="T31" s="34"/>
      <c r="U31" s="1170">
        <v>4191</v>
      </c>
      <c r="V31" s="1170">
        <v>10135</v>
      </c>
      <c r="W31" s="1170">
        <f>((SUM(W30:$AE30))*($L30+$M30))</f>
        <v>51379.28459399999</v>
      </c>
      <c r="X31" s="1170">
        <f>((SUM(X30:$AE30))*($L30+$M30))</f>
        <v>49440.443513999991</v>
      </c>
      <c r="Y31" s="1170">
        <f>((SUM(Y30:$AE30))*($L30+$M30))</f>
        <v>47630.273393999996</v>
      </c>
      <c r="Z31" s="1170">
        <f>((SUM(Z30:$AE30))*($L30+$M30))</f>
        <v>45820.103273999994</v>
      </c>
      <c r="AA31" s="1170">
        <f>((SUM(AA30:$AE30))*($L30+$M30))</f>
        <v>44009.933153999991</v>
      </c>
      <c r="AB31" s="1170">
        <f>((SUM(AB30:$AE30))*($L30+$M30))</f>
        <v>42071.092073999993</v>
      </c>
      <c r="AC31" s="1170">
        <f>((SUM(AC30:$AE30))*($L30+$M30))</f>
        <v>40132.250993999995</v>
      </c>
      <c r="AD31" s="1170">
        <f>((SUM(AD30:$AE30))*($L30+$M30))</f>
        <v>38193.409913999996</v>
      </c>
      <c r="AE31" s="1170">
        <f>((SUM(AE30:$AE30))*($L30+$M30))*18</f>
        <v>652582.2390119998</v>
      </c>
      <c r="AF31" s="1177">
        <f t="shared" si="0"/>
        <v>959879.74532999983</v>
      </c>
      <c r="AG31" s="83"/>
      <c r="AH31" s="83"/>
    </row>
    <row r="32" spans="1:34" s="42" customFormat="1" ht="14.4" x14ac:dyDescent="0.3">
      <c r="A32" s="1270">
        <v>9</v>
      </c>
      <c r="B32" s="286" t="s">
        <v>375</v>
      </c>
      <c r="C32" s="47" t="s">
        <v>1535</v>
      </c>
      <c r="D32" s="47" t="s">
        <v>1536</v>
      </c>
      <c r="E32" s="255"/>
      <c r="F32" s="35" t="s">
        <v>729</v>
      </c>
      <c r="G32" s="35" t="s">
        <v>730</v>
      </c>
      <c r="H32" s="187"/>
      <c r="I32" s="544">
        <v>166837</v>
      </c>
      <c r="J32" s="256"/>
      <c r="K32" s="61"/>
      <c r="L32" s="58">
        <f>0.101%+L7</f>
        <v>1.7590000000000001E-2</v>
      </c>
      <c r="M32" s="39">
        <f>M7</f>
        <v>2.5000000000000001E-3</v>
      </c>
      <c r="N32" s="35">
        <v>4</v>
      </c>
      <c r="O32" s="54"/>
      <c r="P32" s="55"/>
      <c r="Q32" s="48"/>
      <c r="R32" s="395"/>
      <c r="S32" s="60" t="s">
        <v>126</v>
      </c>
      <c r="T32" s="257"/>
      <c r="U32" s="257">
        <v>0</v>
      </c>
      <c r="V32" s="257">
        <v>0</v>
      </c>
      <c r="W32" s="257">
        <v>0</v>
      </c>
      <c r="X32" s="257">
        <v>37071</v>
      </c>
      <c r="Y32" s="257">
        <v>37076</v>
      </c>
      <c r="Z32" s="257">
        <v>37076</v>
      </c>
      <c r="AA32" s="257">
        <v>37076</v>
      </c>
      <c r="AB32" s="257">
        <v>18538</v>
      </c>
      <c r="AC32" s="184">
        <v>0</v>
      </c>
      <c r="AD32" s="184">
        <v>0</v>
      </c>
      <c r="AE32" s="184">
        <v>0</v>
      </c>
      <c r="AF32" s="1176">
        <f t="shared" si="0"/>
        <v>166837</v>
      </c>
      <c r="AG32" s="83"/>
      <c r="AH32" s="83"/>
    </row>
    <row r="33" spans="1:120" s="42" customFormat="1" ht="15" thickBot="1" x14ac:dyDescent="0.35">
      <c r="A33" s="1271"/>
      <c r="B33" s="212"/>
      <c r="C33" s="28"/>
      <c r="D33" s="28"/>
      <c r="E33" s="185"/>
      <c r="F33" s="28"/>
      <c r="G33" s="28"/>
      <c r="H33" s="180"/>
      <c r="I33" s="377"/>
      <c r="J33" s="256"/>
      <c r="K33" s="61"/>
      <c r="L33" s="28"/>
      <c r="M33" s="28"/>
      <c r="N33" s="28"/>
      <c r="O33" s="54"/>
      <c r="P33" s="55"/>
      <c r="Q33" s="48"/>
      <c r="R33" s="395"/>
      <c r="S33" s="33" t="s">
        <v>2</v>
      </c>
      <c r="T33" s="34"/>
      <c r="U33" s="1170">
        <v>2000</v>
      </c>
      <c r="V33" s="34"/>
      <c r="W33" s="34"/>
      <c r="X33" s="1170">
        <f>((SUM(X32:$AE32))*($L32+$M32))</f>
        <v>3351.75533</v>
      </c>
      <c r="Y33" s="1170">
        <f>((SUM(Y32:$AE32))*($L32+$M32))</f>
        <v>2606.9989399999999</v>
      </c>
      <c r="Z33" s="1170">
        <f>((SUM(Z32:$AE32))*($L32+$M32))</f>
        <v>1862.1421</v>
      </c>
      <c r="AA33" s="1170">
        <f>((SUM(AA32:$AE32))*($L32+$M32))</f>
        <v>1117.2852600000001</v>
      </c>
      <c r="AB33" s="1170">
        <f>((SUM(AB32:$AE32))*($L32+$M32))</f>
        <v>372.42842000000002</v>
      </c>
      <c r="AC33" s="1171">
        <f>((SUM(AC32:$AE32))*($L32+$M32))</f>
        <v>0</v>
      </c>
      <c r="AD33" s="1171">
        <f>((SUM(AD32:$AE32))*($L32+$M32))</f>
        <v>0</v>
      </c>
      <c r="AE33" s="1171">
        <f>((SUM(AE32:$AE32))*($L32+$M32))</f>
        <v>0</v>
      </c>
      <c r="AF33" s="1177">
        <f t="shared" si="0"/>
        <v>9310.6100499999993</v>
      </c>
      <c r="AG33" s="83"/>
      <c r="AH33" s="83"/>
    </row>
    <row r="34" spans="1:120" s="26" customFormat="1" x14ac:dyDescent="0.2">
      <c r="A34" s="1270">
        <v>10</v>
      </c>
      <c r="B34" s="286" t="s">
        <v>236</v>
      </c>
      <c r="C34" s="22" t="s">
        <v>316</v>
      </c>
      <c r="D34" s="38" t="s">
        <v>305</v>
      </c>
      <c r="E34" s="260" t="str">
        <f>F34</f>
        <v>10.10.2018.</v>
      </c>
      <c r="F34" s="289" t="s">
        <v>309</v>
      </c>
      <c r="G34" s="51" t="s">
        <v>310</v>
      </c>
      <c r="H34" s="182"/>
      <c r="I34" s="366">
        <f>389405-1272.49</f>
        <v>388132.51</v>
      </c>
      <c r="J34" s="182"/>
      <c r="K34" s="23">
        <f>J34/0.702804</f>
        <v>0</v>
      </c>
      <c r="L34" s="58">
        <f>0.101%+L7</f>
        <v>1.7590000000000001E-2</v>
      </c>
      <c r="M34" s="39">
        <f>M7</f>
        <v>2.5000000000000001E-3</v>
      </c>
      <c r="N34" s="35">
        <v>4</v>
      </c>
      <c r="O34" s="59"/>
      <c r="P34" s="37">
        <v>0</v>
      </c>
      <c r="Q34" s="25"/>
      <c r="R34" s="390"/>
      <c r="S34" s="60" t="s">
        <v>126</v>
      </c>
      <c r="T34" s="285">
        <v>340950</v>
      </c>
      <c r="U34" s="1172">
        <v>38948.58</v>
      </c>
      <c r="V34" s="57">
        <v>125098.51</v>
      </c>
      <c r="W34" s="57">
        <v>38968</v>
      </c>
      <c r="X34" s="57">
        <v>38968</v>
      </c>
      <c r="Y34" s="57">
        <v>38968</v>
      </c>
      <c r="Z34" s="57">
        <v>38968</v>
      </c>
      <c r="AA34" s="57">
        <v>38968</v>
      </c>
      <c r="AB34" s="57">
        <v>38968</v>
      </c>
      <c r="AC34" s="57">
        <v>29226</v>
      </c>
      <c r="AD34" s="184">
        <v>0</v>
      </c>
      <c r="AE34" s="184">
        <v>0</v>
      </c>
      <c r="AF34" s="1176">
        <f t="shared" si="0"/>
        <v>224066</v>
      </c>
      <c r="AG34" s="83"/>
      <c r="AH34" s="83"/>
    </row>
    <row r="35" spans="1:120" s="42" customFormat="1" ht="15" thickBot="1" x14ac:dyDescent="0.35">
      <c r="A35" s="1271"/>
      <c r="B35" s="287"/>
      <c r="C35" s="28"/>
      <c r="D35" s="28"/>
      <c r="E35" s="185"/>
      <c r="F35" s="40"/>
      <c r="G35" s="30"/>
      <c r="H35" s="180"/>
      <c r="I35" s="377"/>
      <c r="J35" s="189"/>
      <c r="K35" s="61"/>
      <c r="L35" s="28"/>
      <c r="M35" s="28"/>
      <c r="N35" s="28"/>
      <c r="O35" s="31"/>
      <c r="P35" s="29"/>
      <c r="Q35" s="32"/>
      <c r="R35" s="392"/>
      <c r="S35" s="33" t="s">
        <v>2</v>
      </c>
      <c r="T35" s="269"/>
      <c r="U35" s="1170">
        <f>((SUM(U34:$AE34))*($L34+$M34))</f>
        <v>8580.0590980999987</v>
      </c>
      <c r="V35" s="1170">
        <f>((SUM(V34:$AE34))*($L34+$M34))</f>
        <v>7797.5821259000004</v>
      </c>
      <c r="W35" s="1170">
        <f>((SUM(W34:$AE34))*($L34+$M34))</f>
        <v>5284.3530600000004</v>
      </c>
      <c r="X35" s="1170">
        <f>((SUM(X34:$AE34))*($L34+$M34))</f>
        <v>4501.4859400000005</v>
      </c>
      <c r="Y35" s="1170">
        <f>((SUM(Y34:$AE34))*($L34+$M34))</f>
        <v>3718.6188200000001</v>
      </c>
      <c r="Z35" s="1170">
        <f>((SUM(Z34:$AE34))*($L34+$M34))</f>
        <v>2935.7517000000003</v>
      </c>
      <c r="AA35" s="1170">
        <f>((SUM(AA34:$AE34))*($L34+$M34))</f>
        <v>2152.8845799999999</v>
      </c>
      <c r="AB35" s="1170">
        <f>((SUM(AB34:$AE34))*($L34+$M34))</f>
        <v>1370.01746</v>
      </c>
      <c r="AC35" s="1170">
        <f>((SUM(AC34:$AE34))*($L34+$M34))</f>
        <v>587.15034000000003</v>
      </c>
      <c r="AD35" s="1171">
        <f>((SUM(AD34:$AE34))*($L34+$M34))</f>
        <v>0</v>
      </c>
      <c r="AE35" s="1171">
        <f>((SUM(AE34:$AE34))*($L34+$M34))</f>
        <v>0</v>
      </c>
      <c r="AF35" s="1177">
        <f t="shared" si="0"/>
        <v>15265.90884</v>
      </c>
      <c r="AG35" s="83"/>
      <c r="AH35" s="83"/>
    </row>
    <row r="36" spans="1:120" s="26" customFormat="1" x14ac:dyDescent="0.2">
      <c r="A36" s="1270">
        <v>11</v>
      </c>
      <c r="B36" s="286" t="s">
        <v>235</v>
      </c>
      <c r="C36" s="22" t="s">
        <v>342</v>
      </c>
      <c r="D36" s="38" t="s">
        <v>343</v>
      </c>
      <c r="E36" s="260"/>
      <c r="F36" s="44">
        <v>44020</v>
      </c>
      <c r="G36" s="51">
        <v>49480</v>
      </c>
      <c r="H36" s="182"/>
      <c r="I36" s="366">
        <f>1290674+120109</f>
        <v>1410783</v>
      </c>
      <c r="J36" s="182"/>
      <c r="K36" s="23">
        <f>J36/0.702804</f>
        <v>0</v>
      </c>
      <c r="L36" s="58">
        <f>0.101%+L7</f>
        <v>1.7590000000000001E-2</v>
      </c>
      <c r="M36" s="39">
        <v>2.5000000000000001E-3</v>
      </c>
      <c r="N36" s="35">
        <v>4</v>
      </c>
      <c r="O36" s="59"/>
      <c r="P36" s="37">
        <v>0</v>
      </c>
      <c r="Q36" s="25"/>
      <c r="R36" s="390"/>
      <c r="S36" s="60" t="s">
        <v>126</v>
      </c>
      <c r="T36" s="57"/>
      <c r="U36" s="57"/>
      <c r="V36" s="57">
        <v>218949</v>
      </c>
      <c r="W36" s="57">
        <v>88284</v>
      </c>
      <c r="X36" s="57">
        <v>88284</v>
      </c>
      <c r="Y36" s="57">
        <v>88284</v>
      </c>
      <c r="Z36" s="57">
        <v>88284</v>
      </c>
      <c r="AA36" s="57">
        <v>88284</v>
      </c>
      <c r="AB36" s="57">
        <v>88284</v>
      </c>
      <c r="AC36" s="57">
        <v>88284</v>
      </c>
      <c r="AD36" s="57">
        <v>88284</v>
      </c>
      <c r="AE36" s="57">
        <v>485562</v>
      </c>
      <c r="AF36" s="1176">
        <f t="shared" si="0"/>
        <v>1103550</v>
      </c>
      <c r="AG36" s="83"/>
      <c r="AH36" s="83"/>
    </row>
    <row r="37" spans="1:120" s="42" customFormat="1" ht="15" thickBot="1" x14ac:dyDescent="0.35">
      <c r="A37" s="1271"/>
      <c r="B37" s="287"/>
      <c r="C37" s="28"/>
      <c r="D37" s="28"/>
      <c r="E37" s="40"/>
      <c r="F37" s="40"/>
      <c r="G37" s="30"/>
      <c r="H37" s="180"/>
      <c r="I37" s="377"/>
      <c r="J37" s="189"/>
      <c r="K37" s="61"/>
      <c r="L37" s="28"/>
      <c r="M37" s="28"/>
      <c r="N37" s="28"/>
      <c r="O37" s="31"/>
      <c r="P37" s="29"/>
      <c r="Q37" s="32"/>
      <c r="R37" s="392"/>
      <c r="S37" s="33" t="s">
        <v>2</v>
      </c>
      <c r="T37" s="34"/>
      <c r="U37" s="34"/>
      <c r="V37" s="1170">
        <f>((SUM(V36:$AE36))*($L36+$M36))</f>
        <v>28342.63047</v>
      </c>
      <c r="W37" s="1170">
        <f>((SUM(W36:$AE36))*($L36+$M36))</f>
        <v>23943.945060000002</v>
      </c>
      <c r="X37" s="1170">
        <f>((SUM(X36:$AE36))*($L36+$M36))</f>
        <v>22170.319500000001</v>
      </c>
      <c r="Y37" s="1170">
        <f>((SUM(Y36:$AE36))*($L36+$M36))</f>
        <v>20396.693940000001</v>
      </c>
      <c r="Z37" s="1170">
        <f>((SUM(Z36:$AE36))*($L36+$M36))</f>
        <v>18623.068380000001</v>
      </c>
      <c r="AA37" s="1170">
        <f>((SUM(AA36:$AE36))*($L36+$M36))</f>
        <v>16849.44282</v>
      </c>
      <c r="AB37" s="1170">
        <f>((SUM(AB36:$AE36))*($L36+$M36))</f>
        <v>15075.81726</v>
      </c>
      <c r="AC37" s="1170">
        <f>((SUM(AC36:$AE36))*($L36+$M36))</f>
        <v>13302.191699999999</v>
      </c>
      <c r="AD37" s="1170">
        <f>((SUM(AD36:$AE36))*($L36+$M36))</f>
        <v>11528.566140000001</v>
      </c>
      <c r="AE37" s="1170">
        <f>((SUM(AE36:$AE36))*($L36+$M36))*4.5</f>
        <v>43897.232609999999</v>
      </c>
      <c r="AF37" s="1177">
        <f t="shared" si="0"/>
        <v>161843.33234999998</v>
      </c>
      <c r="AG37" s="83"/>
      <c r="AH37" s="83"/>
    </row>
    <row r="38" spans="1:120" s="26" customFormat="1" outlineLevel="1" x14ac:dyDescent="0.2">
      <c r="A38" s="1270" t="s">
        <v>50</v>
      </c>
      <c r="B38" s="286" t="s">
        <v>218</v>
      </c>
      <c r="C38" s="22" t="s">
        <v>262</v>
      </c>
      <c r="D38" s="38" t="s">
        <v>261</v>
      </c>
      <c r="E38" s="260" t="s">
        <v>258</v>
      </c>
      <c r="F38" s="56" t="s">
        <v>258</v>
      </c>
      <c r="G38" s="51" t="s">
        <v>259</v>
      </c>
      <c r="H38" s="182"/>
      <c r="I38" s="366">
        <v>20933</v>
      </c>
      <c r="J38" s="182"/>
      <c r="K38" s="23">
        <f>J38/0.702804</f>
        <v>0</v>
      </c>
      <c r="L38" s="58">
        <f>0.101%+L7</f>
        <v>1.7590000000000001E-2</v>
      </c>
      <c r="M38" s="39">
        <v>2.5000000000000001E-3</v>
      </c>
      <c r="N38" s="35">
        <v>4</v>
      </c>
      <c r="O38" s="59"/>
      <c r="P38" s="37">
        <v>0</v>
      </c>
      <c r="Q38" s="25"/>
      <c r="R38" s="390"/>
      <c r="S38" s="60" t="s">
        <v>126</v>
      </c>
      <c r="T38" s="285">
        <v>11630</v>
      </c>
      <c r="U38" s="57">
        <v>4652</v>
      </c>
      <c r="V38" s="57">
        <v>4652</v>
      </c>
      <c r="W38" s="57">
        <v>2326</v>
      </c>
      <c r="X38" s="184">
        <v>0</v>
      </c>
      <c r="Y38" s="184">
        <v>0</v>
      </c>
      <c r="Z38" s="184">
        <v>0</v>
      </c>
      <c r="AA38" s="184">
        <v>0</v>
      </c>
      <c r="AB38" s="184">
        <v>0</v>
      </c>
      <c r="AC38" s="184">
        <v>0</v>
      </c>
      <c r="AD38" s="184">
        <v>0</v>
      </c>
      <c r="AE38" s="184">
        <v>0</v>
      </c>
      <c r="AF38" s="1179">
        <f t="shared" si="0"/>
        <v>0</v>
      </c>
      <c r="AG38" s="83"/>
      <c r="AH38" s="83"/>
    </row>
    <row r="39" spans="1:120" s="226" customFormat="1" ht="15" outlineLevel="1" thickBot="1" x14ac:dyDescent="0.35">
      <c r="A39" s="1271"/>
      <c r="B39" s="287" t="s">
        <v>278</v>
      </c>
      <c r="C39" s="28"/>
      <c r="D39" s="28"/>
      <c r="E39" s="40"/>
      <c r="F39" s="40"/>
      <c r="G39" s="30"/>
      <c r="H39" s="180"/>
      <c r="I39" s="377"/>
      <c r="J39" s="261"/>
      <c r="K39" s="262"/>
      <c r="L39" s="263"/>
      <c r="M39" s="263"/>
      <c r="N39" s="263"/>
      <c r="O39" s="264"/>
      <c r="P39" s="265"/>
      <c r="Q39" s="266"/>
      <c r="R39" s="396"/>
      <c r="S39" s="33" t="s">
        <v>2</v>
      </c>
      <c r="T39" s="269"/>
      <c r="U39" s="1170">
        <f>((SUM(U38:$AE38))*($L38+$M38))</f>
        <v>233.64670000000001</v>
      </c>
      <c r="V39" s="1170">
        <f>((SUM(V38:$AE38))*($L38+$M38))</f>
        <v>140.18801999999999</v>
      </c>
      <c r="W39" s="1170">
        <f>((SUM(W38:$AE38))*($L38+$M38))</f>
        <v>46.729340000000001</v>
      </c>
      <c r="X39" s="1171">
        <f>((SUM(X38:$AE38))*($L38+$M38))</f>
        <v>0</v>
      </c>
      <c r="Y39" s="1171">
        <f>((SUM(Y38:$AE38))*($L38+$M38))</f>
        <v>0</v>
      </c>
      <c r="Z39" s="1171">
        <f>((SUM(Z38:$AE38))*($L38+$M38))</f>
        <v>0</v>
      </c>
      <c r="AA39" s="1171">
        <f>((SUM(AA38:$AE38))*($L38+$M38))</f>
        <v>0</v>
      </c>
      <c r="AB39" s="1171">
        <f>((SUM(AB38:$AE38))*($L38+$M38))</f>
        <v>0</v>
      </c>
      <c r="AC39" s="1171">
        <f>((SUM(AC38:$AE38))*($L38+$M38))</f>
        <v>0</v>
      </c>
      <c r="AD39" s="1171">
        <f>((SUM(AD38:$AE38))*($L38+$M38))</f>
        <v>0</v>
      </c>
      <c r="AE39" s="1171">
        <f>((SUM(AE38:$AE38))*($L38+$M38))</f>
        <v>0</v>
      </c>
      <c r="AF39" s="1180">
        <f t="shared" si="0"/>
        <v>0</v>
      </c>
      <c r="AG39" s="83"/>
      <c r="AH39" s="83"/>
    </row>
    <row r="40" spans="1:120" s="26" customFormat="1" x14ac:dyDescent="0.2">
      <c r="A40" s="1270" t="s">
        <v>55</v>
      </c>
      <c r="B40" s="286" t="s">
        <v>218</v>
      </c>
      <c r="C40" s="22" t="s">
        <v>319</v>
      </c>
      <c r="D40" s="38" t="s">
        <v>320</v>
      </c>
      <c r="E40" s="260"/>
      <c r="F40" s="56" t="s">
        <v>321</v>
      </c>
      <c r="G40" s="51" t="s">
        <v>322</v>
      </c>
      <c r="H40" s="182"/>
      <c r="I40" s="366">
        <v>531484</v>
      </c>
      <c r="J40" s="182"/>
      <c r="K40" s="23"/>
      <c r="L40" s="58">
        <f>0.101%+L7</f>
        <v>1.7590000000000001E-2</v>
      </c>
      <c r="M40" s="39">
        <v>2.5000000000000001E-3</v>
      </c>
      <c r="N40" s="35">
        <v>4</v>
      </c>
      <c r="O40" s="59"/>
      <c r="P40" s="37"/>
      <c r="Q40" s="25"/>
      <c r="R40" s="390"/>
      <c r="S40" s="60" t="s">
        <v>126</v>
      </c>
      <c r="T40" s="285">
        <v>519616</v>
      </c>
      <c r="U40" s="57">
        <v>27464</v>
      </c>
      <c r="V40" s="57">
        <v>36656</v>
      </c>
      <c r="W40" s="57">
        <v>36656</v>
      </c>
      <c r="X40" s="57">
        <v>36656</v>
      </c>
      <c r="Y40" s="57">
        <v>36656</v>
      </c>
      <c r="Z40" s="57">
        <v>36656</v>
      </c>
      <c r="AA40" s="57">
        <v>36656</v>
      </c>
      <c r="AB40" s="57">
        <v>36656</v>
      </c>
      <c r="AC40" s="57">
        <v>36656</v>
      </c>
      <c r="AD40" s="57">
        <v>36656</v>
      </c>
      <c r="AE40" s="57">
        <v>162248</v>
      </c>
      <c r="AF40" s="1176">
        <f t="shared" si="0"/>
        <v>418840</v>
      </c>
      <c r="AG40" s="83"/>
      <c r="AH40" s="83"/>
    </row>
    <row r="41" spans="1:120" s="42" customFormat="1" ht="15" thickBot="1" x14ac:dyDescent="0.35">
      <c r="A41" s="1271"/>
      <c r="B41" s="287" t="s">
        <v>284</v>
      </c>
      <c r="C41" s="28"/>
      <c r="D41" s="28"/>
      <c r="E41" s="40"/>
      <c r="F41" s="40"/>
      <c r="G41" s="30"/>
      <c r="H41" s="180"/>
      <c r="I41" s="377"/>
      <c r="J41" s="189"/>
      <c r="K41" s="61"/>
      <c r="L41" s="28"/>
      <c r="M41" s="28"/>
      <c r="N41" s="28"/>
      <c r="O41" s="31"/>
      <c r="P41" s="29"/>
      <c r="Q41" s="32"/>
      <c r="R41" s="392"/>
      <c r="S41" s="33" t="s">
        <v>2</v>
      </c>
      <c r="T41" s="269"/>
      <c r="U41" s="1170">
        <f>((SUM(U40:$AE40))*($L40+$M40))</f>
        <v>10439.085440000001</v>
      </c>
      <c r="V41" s="1170">
        <f>((SUM(V40:$AE40))*($L40+$M40))</f>
        <v>9887.3336799999997</v>
      </c>
      <c r="W41" s="1170">
        <f>((SUM(W40:$AE40))*($L40+$M40))</f>
        <v>9150.9146400000009</v>
      </c>
      <c r="X41" s="1170">
        <f>((SUM(X40:$AE40))*($L40+$M40))</f>
        <v>8414.4956000000002</v>
      </c>
      <c r="Y41" s="1170">
        <f>((SUM(Y40:$AE40))*($L40+$M40))</f>
        <v>7678.0765600000004</v>
      </c>
      <c r="Z41" s="1170">
        <f>((SUM(Z40:$AE40))*($L40+$M40))</f>
        <v>6941.6575199999997</v>
      </c>
      <c r="AA41" s="1170">
        <f>((SUM(AA40:$AE40))*($L40+$M40))</f>
        <v>6205.23848</v>
      </c>
      <c r="AB41" s="1170">
        <f>((SUM(AB40:$AE40))*($L40+$M40))</f>
        <v>5468.8194400000002</v>
      </c>
      <c r="AC41" s="1170">
        <f>((SUM(AC40:$AE40))*($L40+$M40))</f>
        <v>4732.4004000000004</v>
      </c>
      <c r="AD41" s="1170">
        <f>((SUM(AD40:$AE40))*($L40+$M40))</f>
        <v>3995.9813600000002</v>
      </c>
      <c r="AE41" s="1170">
        <f>((SUM(AE40:$AE40))*($L40+$M40))*4</f>
        <v>13038.24928</v>
      </c>
      <c r="AF41" s="1177">
        <f t="shared" si="0"/>
        <v>56474.918640000004</v>
      </c>
      <c r="AG41" s="83"/>
      <c r="AH41" s="83"/>
    </row>
    <row r="42" spans="1:120" s="26" customFormat="1" ht="13.2" customHeight="1" outlineLevel="1" x14ac:dyDescent="0.2">
      <c r="A42" s="1270">
        <v>12</v>
      </c>
      <c r="B42" s="286" t="s">
        <v>222</v>
      </c>
      <c r="C42" s="22" t="s">
        <v>315</v>
      </c>
      <c r="D42" s="38" t="s">
        <v>297</v>
      </c>
      <c r="E42" s="260" t="s">
        <v>298</v>
      </c>
      <c r="F42" s="260" t="s">
        <v>298</v>
      </c>
      <c r="G42" s="51" t="s">
        <v>299</v>
      </c>
      <c r="H42" s="182"/>
      <c r="I42" s="366">
        <v>145533</v>
      </c>
      <c r="J42" s="182"/>
      <c r="K42" s="23">
        <f>J42/0.702804</f>
        <v>0</v>
      </c>
      <c r="L42" s="58">
        <f>0.101%+L7</f>
        <v>1.7590000000000001E-2</v>
      </c>
      <c r="M42" s="39">
        <v>2.5000000000000001E-3</v>
      </c>
      <c r="N42" s="35">
        <v>4</v>
      </c>
      <c r="O42" s="59"/>
      <c r="P42" s="37">
        <v>0</v>
      </c>
      <c r="Q42" s="25"/>
      <c r="R42" s="390"/>
      <c r="S42" s="60" t="s">
        <v>126</v>
      </c>
      <c r="T42" s="285">
        <v>0</v>
      </c>
      <c r="U42" s="57"/>
      <c r="V42" s="184">
        <v>0</v>
      </c>
      <c r="W42" s="184">
        <v>0</v>
      </c>
      <c r="X42" s="184">
        <v>0</v>
      </c>
      <c r="Y42" s="184">
        <v>0</v>
      </c>
      <c r="Z42" s="184">
        <v>0</v>
      </c>
      <c r="AA42" s="184">
        <v>0</v>
      </c>
      <c r="AB42" s="184">
        <v>0</v>
      </c>
      <c r="AC42" s="184">
        <v>0</v>
      </c>
      <c r="AD42" s="184">
        <v>0</v>
      </c>
      <c r="AE42" s="184">
        <v>0</v>
      </c>
      <c r="AF42" s="1179">
        <f t="shared" ref="AF42:AF75" si="1">SUM(X42:AE42)</f>
        <v>0</v>
      </c>
      <c r="AG42" s="83"/>
      <c r="AH42" s="83"/>
    </row>
    <row r="43" spans="1:120" s="42" customFormat="1" ht="15" customHeight="1" outlineLevel="1" thickBot="1" x14ac:dyDescent="0.35">
      <c r="A43" s="1271"/>
      <c r="B43" s="287"/>
      <c r="C43" s="28"/>
      <c r="D43" s="28"/>
      <c r="E43" s="40"/>
      <c r="F43" s="40"/>
      <c r="G43" s="30"/>
      <c r="H43" s="180"/>
      <c r="I43" s="377"/>
      <c r="J43" s="189"/>
      <c r="K43" s="61"/>
      <c r="L43" s="28"/>
      <c r="M43" s="28"/>
      <c r="N43" s="28"/>
      <c r="O43" s="31"/>
      <c r="P43" s="29"/>
      <c r="Q43" s="32"/>
      <c r="R43" s="392"/>
      <c r="S43" s="33" t="s">
        <v>2</v>
      </c>
      <c r="T43" s="269"/>
      <c r="U43" s="34"/>
      <c r="V43" s="1171">
        <v>0</v>
      </c>
      <c r="W43" s="1171">
        <v>0</v>
      </c>
      <c r="X43" s="1171">
        <v>0</v>
      </c>
      <c r="Y43" s="1171">
        <v>0</v>
      </c>
      <c r="Z43" s="1171">
        <v>0</v>
      </c>
      <c r="AA43" s="1171">
        <v>0</v>
      </c>
      <c r="AB43" s="1171">
        <v>0</v>
      </c>
      <c r="AC43" s="1171">
        <v>0</v>
      </c>
      <c r="AD43" s="1171">
        <v>0</v>
      </c>
      <c r="AE43" s="1171">
        <v>0</v>
      </c>
      <c r="AF43" s="1180">
        <f t="shared" si="1"/>
        <v>0</v>
      </c>
      <c r="AG43" s="83"/>
      <c r="AH43" s="83"/>
    </row>
    <row r="44" spans="1:120" s="26" customFormat="1" outlineLevel="1" x14ac:dyDescent="0.2">
      <c r="A44" s="1270" t="s">
        <v>65</v>
      </c>
      <c r="B44" s="286" t="s">
        <v>237</v>
      </c>
      <c r="C44" s="22" t="s">
        <v>277</v>
      </c>
      <c r="D44" s="38" t="s">
        <v>266</v>
      </c>
      <c r="E44" s="260" t="s">
        <v>265</v>
      </c>
      <c r="F44" s="260" t="s">
        <v>265</v>
      </c>
      <c r="G44" s="51" t="s">
        <v>267</v>
      </c>
      <c r="H44" s="182"/>
      <c r="I44" s="366">
        <v>109384</v>
      </c>
      <c r="J44" s="182"/>
      <c r="K44" s="23">
        <f>J44/0.702804</f>
        <v>0</v>
      </c>
      <c r="L44" s="58">
        <f>0.101%+L7</f>
        <v>1.7590000000000001E-2</v>
      </c>
      <c r="M44" s="39">
        <v>2.5000000000000001E-3</v>
      </c>
      <c r="N44" s="35">
        <v>4</v>
      </c>
      <c r="O44" s="59"/>
      <c r="P44" s="37">
        <v>0</v>
      </c>
      <c r="Q44" s="25"/>
      <c r="R44" s="390"/>
      <c r="S44" s="60" t="s">
        <v>126</v>
      </c>
      <c r="T44" s="285">
        <v>68651</v>
      </c>
      <c r="U44" s="57">
        <v>24964</v>
      </c>
      <c r="V44" s="57">
        <v>24964</v>
      </c>
      <c r="W44" s="57">
        <v>18723</v>
      </c>
      <c r="X44" s="184">
        <v>0</v>
      </c>
      <c r="Y44" s="184">
        <v>0</v>
      </c>
      <c r="Z44" s="184">
        <v>0</v>
      </c>
      <c r="AA44" s="184">
        <v>0</v>
      </c>
      <c r="AB44" s="184">
        <v>0</v>
      </c>
      <c r="AC44" s="184">
        <v>0</v>
      </c>
      <c r="AD44" s="184">
        <v>0</v>
      </c>
      <c r="AE44" s="184">
        <v>0</v>
      </c>
      <c r="AF44" s="1179">
        <f t="shared" si="1"/>
        <v>0</v>
      </c>
      <c r="AG44" s="83"/>
      <c r="AH44" s="83"/>
    </row>
    <row r="45" spans="1:120" s="226" customFormat="1" ht="15" outlineLevel="1" thickBot="1" x14ac:dyDescent="0.35">
      <c r="A45" s="1271"/>
      <c r="B45" s="287" t="s">
        <v>285</v>
      </c>
      <c r="C45" s="357" t="s">
        <v>304</v>
      </c>
      <c r="D45" s="28"/>
      <c r="E45" s="40"/>
      <c r="F45" s="40"/>
      <c r="G45" s="30"/>
      <c r="H45" s="180"/>
      <c r="I45" s="377"/>
      <c r="J45" s="261"/>
      <c r="K45" s="262"/>
      <c r="L45" s="263"/>
      <c r="M45" s="263"/>
      <c r="N45" s="263"/>
      <c r="O45" s="264"/>
      <c r="P45" s="265"/>
      <c r="Q45" s="266"/>
      <c r="R45" s="396"/>
      <c r="S45" s="33" t="s">
        <v>2</v>
      </c>
      <c r="T45" s="269"/>
      <c r="U45" s="1170">
        <f>((SUM(U44:$AE44))*($L44+$M44))</f>
        <v>1379.19859</v>
      </c>
      <c r="V45" s="1170">
        <f>((SUM(V44:$AE44))*($L44+$M44))</f>
        <v>877.67183</v>
      </c>
      <c r="W45" s="1170">
        <f>((SUM(W44:$AE44))*($L44+$M44))</f>
        <v>376.14507000000003</v>
      </c>
      <c r="X45" s="1171">
        <f>((SUM(X44:$AE44))*($L44+$M44))</f>
        <v>0</v>
      </c>
      <c r="Y45" s="1171">
        <f>((SUM(Y44:$AE44))*($L44+$M44))</f>
        <v>0</v>
      </c>
      <c r="Z45" s="1171">
        <f>((SUM(Z44:$AE44))*($L44+$M44))</f>
        <v>0</v>
      </c>
      <c r="AA45" s="1171">
        <f>((SUM(AA44:$AE44))*($L44+$M44))</f>
        <v>0</v>
      </c>
      <c r="AB45" s="1171">
        <f>((SUM(AB44:$AE44))*($L44+$M44))</f>
        <v>0</v>
      </c>
      <c r="AC45" s="1171">
        <f>((SUM(AC44:$AE44))*($L44+$M44))</f>
        <v>0</v>
      </c>
      <c r="AD45" s="1171">
        <f>((SUM(AD44:$AE44))*($L44+$M44))</f>
        <v>0</v>
      </c>
      <c r="AE45" s="1171">
        <f>((SUM(AE44:$AE44))*($L44+$M44))</f>
        <v>0</v>
      </c>
      <c r="AF45" s="1180">
        <f t="shared" si="1"/>
        <v>0</v>
      </c>
      <c r="AG45" s="83"/>
      <c r="AH45" s="83"/>
    </row>
    <row r="46" spans="1:120" s="26" customFormat="1" outlineLevel="1" x14ac:dyDescent="0.2">
      <c r="A46" s="1270" t="s">
        <v>66</v>
      </c>
      <c r="B46" s="286" t="s">
        <v>237</v>
      </c>
      <c r="C46" s="22" t="s">
        <v>326</v>
      </c>
      <c r="D46" s="38" t="s">
        <v>327</v>
      </c>
      <c r="E46" s="260"/>
      <c r="F46" s="56" t="s">
        <v>328</v>
      </c>
      <c r="G46" s="51" t="s">
        <v>329</v>
      </c>
      <c r="H46" s="182"/>
      <c r="I46" s="366">
        <v>179713</v>
      </c>
      <c r="J46" s="182"/>
      <c r="K46" s="23"/>
      <c r="L46" s="58">
        <f>0.101%+L7</f>
        <v>1.7590000000000001E-2</v>
      </c>
      <c r="M46" s="39">
        <v>2.5000000000000001E-3</v>
      </c>
      <c r="N46" s="35">
        <v>4</v>
      </c>
      <c r="O46" s="59"/>
      <c r="P46" s="37"/>
      <c r="Q46" s="25"/>
      <c r="R46" s="390"/>
      <c r="S46" s="49" t="s">
        <v>126</v>
      </c>
      <c r="T46" s="285">
        <v>157328</v>
      </c>
      <c r="U46" s="57">
        <v>23146</v>
      </c>
      <c r="V46" s="57">
        <v>92652</v>
      </c>
      <c r="W46" s="57">
        <v>63915</v>
      </c>
      <c r="X46" s="184">
        <v>0</v>
      </c>
      <c r="Y46" s="184">
        <v>0</v>
      </c>
      <c r="Z46" s="184">
        <v>0</v>
      </c>
      <c r="AA46" s="184">
        <v>0</v>
      </c>
      <c r="AB46" s="184">
        <v>0</v>
      </c>
      <c r="AC46" s="184">
        <v>0</v>
      </c>
      <c r="AD46" s="184">
        <v>0</v>
      </c>
      <c r="AE46" s="184">
        <v>0</v>
      </c>
      <c r="AF46" s="1179">
        <f t="shared" si="1"/>
        <v>0</v>
      </c>
      <c r="AG46" s="83"/>
      <c r="AH46" s="83"/>
    </row>
    <row r="47" spans="1:120" s="42" customFormat="1" ht="15" outlineLevel="1" thickBot="1" x14ac:dyDescent="0.35">
      <c r="A47" s="1271"/>
      <c r="B47" s="287" t="s">
        <v>317</v>
      </c>
      <c r="C47" s="28"/>
      <c r="D47" s="28"/>
      <c r="E47" s="40"/>
      <c r="F47" s="40"/>
      <c r="G47" s="30"/>
      <c r="H47" s="180"/>
      <c r="I47" s="377"/>
      <c r="J47" s="189"/>
      <c r="K47" s="61"/>
      <c r="L47" s="28"/>
      <c r="M47" s="28"/>
      <c r="N47" s="28"/>
      <c r="O47" s="31"/>
      <c r="P47" s="29"/>
      <c r="Q47" s="32"/>
      <c r="R47" s="392"/>
      <c r="S47" s="33" t="s">
        <v>2</v>
      </c>
      <c r="T47" s="34"/>
      <c r="U47" s="1170">
        <f>((SUM(U46:$AE46))*($L46+$M46))</f>
        <v>3610.43417</v>
      </c>
      <c r="V47" s="1170">
        <f>((SUM(V46:$AE46))*($L46+$M46))</f>
        <v>3145.4310300000002</v>
      </c>
      <c r="W47" s="1170">
        <f>((SUM(W46:$AE46))*($L46+$M46))</f>
        <v>1284.0523499999999</v>
      </c>
      <c r="X47" s="1171">
        <f>((SUM(X46:$AE46))*($L46+$M46))</f>
        <v>0</v>
      </c>
      <c r="Y47" s="1171">
        <f>((SUM(Y46:$AE46))*($L46+$M46))</f>
        <v>0</v>
      </c>
      <c r="Z47" s="1171">
        <f>((SUM(Z46:$AE46))*($L46+$M46))</f>
        <v>0</v>
      </c>
      <c r="AA47" s="1171">
        <f>((SUM(AA46:$AE46))*($L46+$M46))</f>
        <v>0</v>
      </c>
      <c r="AB47" s="1171">
        <f>((SUM(AB46:$AE46))*($L46+$M46))</f>
        <v>0</v>
      </c>
      <c r="AC47" s="1171">
        <f>((SUM(AC46:$AE46))*($L46+$M46))</f>
        <v>0</v>
      </c>
      <c r="AD47" s="1171">
        <f>((SUM(AD46:$AE46))*($L46+$M46))</f>
        <v>0</v>
      </c>
      <c r="AE47" s="1171">
        <f>((SUM(AE46:$AE46))*($L46+$M46))</f>
        <v>0</v>
      </c>
      <c r="AF47" s="1180">
        <f t="shared" si="1"/>
        <v>0</v>
      </c>
      <c r="AG47" s="83"/>
      <c r="AH47" s="83"/>
    </row>
    <row r="48" spans="1:120" s="360" customFormat="1" x14ac:dyDescent="0.2">
      <c r="A48" s="1270" t="s">
        <v>406</v>
      </c>
      <c r="B48" s="286" t="s">
        <v>237</v>
      </c>
      <c r="C48" s="444" t="s">
        <v>710</v>
      </c>
      <c r="D48" s="38" t="s">
        <v>711</v>
      </c>
      <c r="E48" s="260"/>
      <c r="F48" s="56" t="s">
        <v>712</v>
      </c>
      <c r="G48" s="51" t="s">
        <v>713</v>
      </c>
      <c r="H48" s="182"/>
      <c r="I48" s="366">
        <v>1230506</v>
      </c>
      <c r="J48" s="182"/>
      <c r="K48" s="23"/>
      <c r="L48" s="58">
        <f>0.101%+$L$7</f>
        <v>1.7590000000000001E-2</v>
      </c>
      <c r="M48" s="39">
        <v>2.5000000000000001E-3</v>
      </c>
      <c r="N48" s="35">
        <v>4</v>
      </c>
      <c r="O48" s="59"/>
      <c r="P48" s="37"/>
      <c r="Q48" s="25"/>
      <c r="R48" s="390"/>
      <c r="S48" s="49" t="s">
        <v>126</v>
      </c>
      <c r="T48" s="285">
        <v>157328</v>
      </c>
      <c r="U48" s="57">
        <v>23146</v>
      </c>
      <c r="V48" s="57">
        <v>0</v>
      </c>
      <c r="W48" s="57">
        <v>20000</v>
      </c>
      <c r="X48" s="57">
        <v>64754</v>
      </c>
      <c r="Y48" s="57">
        <v>86352</v>
      </c>
      <c r="Z48" s="57">
        <v>86352</v>
      </c>
      <c r="AA48" s="57">
        <v>86352</v>
      </c>
      <c r="AB48" s="57">
        <v>86352</v>
      </c>
      <c r="AC48" s="57">
        <v>86352</v>
      </c>
      <c r="AD48" s="57">
        <v>86352</v>
      </c>
      <c r="AE48" s="57">
        <f>-SUM(W48:AD48)+I48</f>
        <v>627640</v>
      </c>
      <c r="AF48" s="1176">
        <f t="shared" si="1"/>
        <v>1210506</v>
      </c>
      <c r="AG48" s="83"/>
      <c r="AH48" s="83"/>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row>
    <row r="49" spans="1:120" s="361" customFormat="1" ht="15" thickBot="1" x14ac:dyDescent="0.35">
      <c r="A49" s="1271"/>
      <c r="B49" s="287" t="s">
        <v>317</v>
      </c>
      <c r="C49" s="28"/>
      <c r="D49" s="28"/>
      <c r="E49" s="40"/>
      <c r="F49" s="40"/>
      <c r="G49" s="30"/>
      <c r="H49" s="180"/>
      <c r="I49" s="382"/>
      <c r="J49" s="189"/>
      <c r="K49" s="61"/>
      <c r="L49" s="28"/>
      <c r="M49" s="28"/>
      <c r="N49" s="28"/>
      <c r="O49" s="31"/>
      <c r="P49" s="29"/>
      <c r="Q49" s="32"/>
      <c r="R49" s="392"/>
      <c r="S49" s="33" t="s">
        <v>2</v>
      </c>
      <c r="T49" s="269"/>
      <c r="U49" s="1170">
        <f>((SUM(U48:$AE48))*($L48+$M48))</f>
        <v>25185.86868</v>
      </c>
      <c r="V49" s="1170">
        <f>((SUM(V48:$AE48))*($L48+$M48))</f>
        <v>24720.865539999999</v>
      </c>
      <c r="W49" s="1170">
        <f>((SUM(W48:$AE48))*($L48+$M48))</f>
        <v>24720.865539999999</v>
      </c>
      <c r="X49" s="1170">
        <f>((SUM(X48:$AE48))*($L48+$M48))</f>
        <v>24319.06554</v>
      </c>
      <c r="Y49" s="1170">
        <f>((SUM(Y48:$AE48))*($L48+$M48))</f>
        <v>23018.15768</v>
      </c>
      <c r="Z49" s="1170">
        <f>((SUM(Z48:$AE48))*($L48+$M48))</f>
        <v>21283.346000000001</v>
      </c>
      <c r="AA49" s="1170">
        <f>((SUM(AA48:$AE48))*($L48+$M48))</f>
        <v>19548.534319999999</v>
      </c>
      <c r="AB49" s="1170">
        <f>((SUM(AB48:$AE48))*($L48+$M48))</f>
        <v>17813.72264</v>
      </c>
      <c r="AC49" s="1170">
        <f>((SUM(AC48:$AE48))*($L48+$M48))</f>
        <v>16078.910960000001</v>
      </c>
      <c r="AD49" s="1170">
        <f>((SUM(AD48:$AE48))*($L48+$M48))</f>
        <v>14344.09928</v>
      </c>
      <c r="AE49" s="1170">
        <f>((SUM(AE48:$AE48))*($L48+$M48))*6</f>
        <v>75655.725600000005</v>
      </c>
      <c r="AF49" s="1177">
        <f t="shared" si="1"/>
        <v>212061.56202000001</v>
      </c>
      <c r="AG49" s="83"/>
      <c r="AH49" s="83"/>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row>
    <row r="50" spans="1:120" s="361" customFormat="1" ht="25.2" customHeight="1" x14ac:dyDescent="0.3">
      <c r="A50" s="1347" t="s">
        <v>1539</v>
      </c>
      <c r="B50" s="1348" t="s">
        <v>1540</v>
      </c>
      <c r="C50" s="1349" t="s">
        <v>1542</v>
      </c>
      <c r="D50" s="1350" t="s">
        <v>1543</v>
      </c>
      <c r="E50" s="289"/>
      <c r="F50" s="289" t="s">
        <v>1544</v>
      </c>
      <c r="G50" s="51" t="s">
        <v>1545</v>
      </c>
      <c r="H50" s="1341"/>
      <c r="I50" s="366">
        <v>292889</v>
      </c>
      <c r="J50" s="1343"/>
      <c r="K50" s="61"/>
      <c r="L50" s="58">
        <f>0.101%+$L$7</f>
        <v>1.7590000000000001E-2</v>
      </c>
      <c r="M50" s="39">
        <v>2.5000000000000001E-3</v>
      </c>
      <c r="N50" s="1339"/>
      <c r="O50" s="1344"/>
      <c r="P50" s="1345"/>
      <c r="Q50" s="48"/>
      <c r="R50" s="395"/>
      <c r="S50" s="49" t="s">
        <v>126</v>
      </c>
      <c r="T50" s="315"/>
      <c r="U50" s="1346"/>
      <c r="V50" s="1346"/>
      <c r="W50" s="1346"/>
      <c r="X50" s="57">
        <v>10099</v>
      </c>
      <c r="Y50" s="57">
        <v>20200</v>
      </c>
      <c r="Z50" s="57">
        <v>20200</v>
      </c>
      <c r="AA50" s="57">
        <v>20200</v>
      </c>
      <c r="AB50" s="57">
        <v>20200</v>
      </c>
      <c r="AC50" s="57">
        <v>20200</v>
      </c>
      <c r="AD50" s="57">
        <v>20200</v>
      </c>
      <c r="AE50" s="57">
        <f>-SUM(X50:AD50)+I50</f>
        <v>161590</v>
      </c>
      <c r="AF50" s="1176">
        <f>SUM(X50:AE50)</f>
        <v>292889</v>
      </c>
      <c r="AG50" s="83"/>
      <c r="AH50" s="83"/>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row>
    <row r="51" spans="1:120" s="361" customFormat="1" ht="21" thickBot="1" x14ac:dyDescent="0.35">
      <c r="A51" s="1272"/>
      <c r="B51" s="1351" t="s">
        <v>1541</v>
      </c>
      <c r="C51" s="1339"/>
      <c r="D51" s="1339"/>
      <c r="E51" s="289"/>
      <c r="F51" s="40"/>
      <c r="G51" s="1340"/>
      <c r="H51" s="1341"/>
      <c r="I51" s="1342"/>
      <c r="J51" s="1343"/>
      <c r="K51" s="61"/>
      <c r="L51" s="1339"/>
      <c r="M51" s="1339"/>
      <c r="N51" s="1339"/>
      <c r="O51" s="1344"/>
      <c r="P51" s="1345"/>
      <c r="Q51" s="48"/>
      <c r="R51" s="395"/>
      <c r="S51" s="33" t="s">
        <v>2</v>
      </c>
      <c r="T51" s="315"/>
      <c r="U51" s="1346"/>
      <c r="V51" s="1346"/>
      <c r="W51" s="1346"/>
      <c r="X51" s="1170">
        <f>((SUM(X50:$AE50))*($L50+$M50))</f>
        <v>5884.1400100000001</v>
      </c>
      <c r="Y51" s="1170">
        <f>((SUM(Y50:$AE50))*($L50+$M50))</f>
        <v>5681.2511000000004</v>
      </c>
      <c r="Z51" s="1170">
        <f>((SUM(Z50:$AE50))*($L50+$M50))</f>
        <v>5275.4331000000002</v>
      </c>
      <c r="AA51" s="1170">
        <f>((SUM(AA50:$AE50))*($L50+$M50))</f>
        <v>4869.6151</v>
      </c>
      <c r="AB51" s="1170">
        <f>((SUM(AB50:$AE50))*($L50+$M50))</f>
        <v>4463.7970999999998</v>
      </c>
      <c r="AC51" s="1170">
        <f>((SUM(AC50:$AE50))*($L50+$M50))</f>
        <v>4057.9791</v>
      </c>
      <c r="AD51" s="1170">
        <f>((SUM(AD50:$AE50))*($L50+$M50))</f>
        <v>3652.1611000000003</v>
      </c>
      <c r="AE51" s="1170">
        <f>((SUM(AE50:$AE50))*($L50+$M50))*7</f>
        <v>22724.401700000002</v>
      </c>
      <c r="AF51" s="1177">
        <f t="shared" si="1"/>
        <v>56608.778310000002</v>
      </c>
      <c r="AG51" s="83"/>
      <c r="AH51" s="83"/>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row>
    <row r="52" spans="1:120" s="42" customFormat="1" x14ac:dyDescent="0.2">
      <c r="A52" s="1270">
        <v>14</v>
      </c>
      <c r="B52" s="286" t="s">
        <v>283</v>
      </c>
      <c r="C52" s="22" t="s">
        <v>306</v>
      </c>
      <c r="D52" s="38" t="s">
        <v>307</v>
      </c>
      <c r="E52" s="260"/>
      <c r="F52" s="56" t="s">
        <v>302</v>
      </c>
      <c r="G52" s="51" t="s">
        <v>303</v>
      </c>
      <c r="H52" s="182"/>
      <c r="I52" s="366">
        <v>1174140</v>
      </c>
      <c r="J52" s="182"/>
      <c r="K52" s="61"/>
      <c r="L52" s="58">
        <f>0.101%+L7</f>
        <v>1.7590000000000001E-2</v>
      </c>
      <c r="M52" s="39">
        <v>2.5000000000000001E-3</v>
      </c>
      <c r="N52" s="35">
        <v>4</v>
      </c>
      <c r="O52" s="54"/>
      <c r="P52" s="55"/>
      <c r="Q52" s="48"/>
      <c r="R52" s="395"/>
      <c r="S52" s="49" t="s">
        <v>126</v>
      </c>
      <c r="T52" s="285">
        <v>1113420</v>
      </c>
      <c r="U52" s="57">
        <v>80976</v>
      </c>
      <c r="V52" s="57">
        <v>80976</v>
      </c>
      <c r="W52" s="57">
        <v>80976</v>
      </c>
      <c r="X52" s="57">
        <v>80976</v>
      </c>
      <c r="Y52" s="57">
        <v>80976</v>
      </c>
      <c r="Z52" s="57">
        <v>80976</v>
      </c>
      <c r="AA52" s="57">
        <v>80976</v>
      </c>
      <c r="AB52" s="57">
        <v>80976</v>
      </c>
      <c r="AC52" s="57">
        <v>80976</v>
      </c>
      <c r="AD52" s="57">
        <v>80976</v>
      </c>
      <c r="AE52" s="57">
        <v>303660</v>
      </c>
      <c r="AF52" s="1176">
        <f t="shared" si="1"/>
        <v>870492</v>
      </c>
      <c r="AG52" s="83"/>
      <c r="AH52" s="83"/>
    </row>
    <row r="53" spans="1:120" s="42" customFormat="1" ht="15" thickBot="1" x14ac:dyDescent="0.35">
      <c r="A53" s="1271"/>
      <c r="B53" s="287"/>
      <c r="C53" s="28"/>
      <c r="D53" s="28"/>
      <c r="E53" s="40"/>
      <c r="F53" s="40"/>
      <c r="G53" s="30"/>
      <c r="H53" s="180"/>
      <c r="I53" s="383"/>
      <c r="J53" s="189"/>
      <c r="K53" s="61"/>
      <c r="L53" s="28"/>
      <c r="M53" s="28"/>
      <c r="N53" s="28"/>
      <c r="O53" s="54"/>
      <c r="P53" s="55"/>
      <c r="Q53" s="48"/>
      <c r="R53" s="395"/>
      <c r="S53" s="33" t="s">
        <v>2</v>
      </c>
      <c r="T53" s="269"/>
      <c r="U53" s="1170">
        <f>((SUM(U52:$AE52))*($L52+$M52))</f>
        <v>22368.607800000002</v>
      </c>
      <c r="V53" s="1170">
        <f>((SUM(V52:$AE52))*($L52+$M52))</f>
        <v>20741.79996</v>
      </c>
      <c r="W53" s="1170">
        <f>((SUM(W52:$AE52))*($L52+$M52))</f>
        <v>19114.992119999999</v>
      </c>
      <c r="X53" s="1170">
        <f>((SUM(X52:$AE52))*($L52+$M52))</f>
        <v>17488.184280000001</v>
      </c>
      <c r="Y53" s="1170">
        <f>((SUM(Y52:$AE52))*($L52+$M52))</f>
        <v>15861.37644</v>
      </c>
      <c r="Z53" s="1170">
        <f>((SUM(Z52:$AE52))*($L52+$M52))</f>
        <v>14234.568600000001</v>
      </c>
      <c r="AA53" s="1170">
        <f>((SUM(AA52:$AE52))*($L52+$M52))</f>
        <v>12607.760760000001</v>
      </c>
      <c r="AB53" s="1170">
        <f>((SUM(AB52:$AE52))*($L52+$M52))</f>
        <v>10980.95292</v>
      </c>
      <c r="AC53" s="1170">
        <f>((SUM(AC52:$AE52))*($L52+$M52))</f>
        <v>9354.1450800000002</v>
      </c>
      <c r="AD53" s="1170">
        <f>((SUM(AD52:$AE52))*($L52+$M52))</f>
        <v>7727.3372399999998</v>
      </c>
      <c r="AE53" s="1170">
        <f>((SUM(AE52:$AE52))*($L52+$M52))*4</f>
        <v>24402.117600000001</v>
      </c>
      <c r="AF53" s="1177">
        <f t="shared" si="1"/>
        <v>112656.44291999999</v>
      </c>
      <c r="AG53" s="83"/>
      <c r="AH53" s="83"/>
    </row>
    <row r="54" spans="1:120" s="42" customFormat="1" x14ac:dyDescent="0.2">
      <c r="A54" s="1270">
        <v>15</v>
      </c>
      <c r="B54" s="286" t="s">
        <v>286</v>
      </c>
      <c r="C54" s="22" t="s">
        <v>637</v>
      </c>
      <c r="D54" s="38" t="s">
        <v>639</v>
      </c>
      <c r="E54" s="260"/>
      <c r="F54" s="56" t="s">
        <v>638</v>
      </c>
      <c r="G54" s="51" t="s">
        <v>640</v>
      </c>
      <c r="H54" s="182"/>
      <c r="I54" s="366">
        <v>186392</v>
      </c>
      <c r="J54" s="182"/>
      <c r="K54" s="23">
        <f>J54/0.702804</f>
        <v>0</v>
      </c>
      <c r="L54" s="58">
        <f>0.101%+$L$7</f>
        <v>1.7590000000000001E-2</v>
      </c>
      <c r="M54" s="39">
        <v>2.5000000000000001E-3</v>
      </c>
      <c r="N54" s="35">
        <v>4</v>
      </c>
      <c r="O54" s="59"/>
      <c r="P54" s="37">
        <v>0</v>
      </c>
      <c r="Q54" s="25"/>
      <c r="R54" s="390"/>
      <c r="S54" s="49" t="s">
        <v>126</v>
      </c>
      <c r="T54" s="285"/>
      <c r="U54" s="57">
        <v>16907.599999999999</v>
      </c>
      <c r="V54" s="57">
        <v>0</v>
      </c>
      <c r="W54" s="57">
        <v>12992</v>
      </c>
      <c r="X54" s="57">
        <v>17360</v>
      </c>
      <c r="Y54" s="57">
        <v>17360</v>
      </c>
      <c r="Z54" s="57">
        <v>15080</v>
      </c>
      <c r="AA54" s="57">
        <v>8240</v>
      </c>
      <c r="AB54" s="57">
        <v>8240</v>
      </c>
      <c r="AC54" s="57">
        <v>8240</v>
      </c>
      <c r="AD54" s="57">
        <v>8240</v>
      </c>
      <c r="AE54" s="57">
        <v>73732.399999999994</v>
      </c>
      <c r="AF54" s="1176">
        <f t="shared" si="1"/>
        <v>156492.4</v>
      </c>
      <c r="AG54" s="83"/>
      <c r="AH54" s="83"/>
    </row>
    <row r="55" spans="1:120" s="42" customFormat="1" ht="15" thickBot="1" x14ac:dyDescent="0.35">
      <c r="A55" s="1271"/>
      <c r="B55" s="287" t="s">
        <v>287</v>
      </c>
      <c r="C55" s="28"/>
      <c r="D55" s="28"/>
      <c r="E55" s="40"/>
      <c r="F55" s="40"/>
      <c r="G55" s="30"/>
      <c r="H55" s="180"/>
      <c r="I55" s="377"/>
      <c r="J55" s="189"/>
      <c r="K55" s="61"/>
      <c r="L55" s="28"/>
      <c r="M55" s="28"/>
      <c r="N55" s="28"/>
      <c r="O55" s="31"/>
      <c r="P55" s="29"/>
      <c r="Q55" s="32"/>
      <c r="R55" s="392"/>
      <c r="S55" s="49" t="s">
        <v>2</v>
      </c>
      <c r="T55" s="269"/>
      <c r="U55" s="1170">
        <f>((SUM(U54:$AE54))*($L54+$M54))</f>
        <v>3744.61528</v>
      </c>
      <c r="V55" s="1170">
        <f>((SUM(V54:$AE54))*($L54+$M54))</f>
        <v>3404.9415960000001</v>
      </c>
      <c r="W55" s="1170">
        <f>((SUM(W54:$AE54))*($L54+$M54))</f>
        <v>3404.9415960000001</v>
      </c>
      <c r="X55" s="1170">
        <f>((SUM(X54:$AE54))*($L54+$M54))</f>
        <v>3143.9323159999999</v>
      </c>
      <c r="Y55" s="1170">
        <f>((SUM(Y54:$AE54))*($L54+$M54))</f>
        <v>2795.1699159999998</v>
      </c>
      <c r="Z55" s="1170">
        <f>((SUM(Z54:$AE54))*($L54+$M54))</f>
        <v>2446.4075159999998</v>
      </c>
      <c r="AA55" s="1170">
        <f>((SUM(AA54:$AE54))*($L54+$M54))</f>
        <v>2143.4503159999999</v>
      </c>
      <c r="AB55" s="1170">
        <f>((SUM(AB54:$AE54))*($L54+$M54))</f>
        <v>1977.9087159999999</v>
      </c>
      <c r="AC55" s="1170">
        <f>((SUM(AC54:$AE54))*($L54+$M54))</f>
        <v>1812.3671159999999</v>
      </c>
      <c r="AD55" s="1170">
        <f>((SUM(AD54:$AE54))*($L54+$M54))</f>
        <v>1646.8255159999999</v>
      </c>
      <c r="AE55" s="1170">
        <f>((SUM(AE54:$AE54))*($L54+$M54))*10</f>
        <v>14812.83916</v>
      </c>
      <c r="AF55" s="1177">
        <f t="shared" si="1"/>
        <v>30778.900571999999</v>
      </c>
      <c r="AG55" s="83"/>
      <c r="AH55" s="83"/>
    </row>
    <row r="56" spans="1:120" s="42" customFormat="1" x14ac:dyDescent="0.2">
      <c r="A56" s="1270">
        <v>16</v>
      </c>
      <c r="B56" s="21" t="s">
        <v>683</v>
      </c>
      <c r="C56" s="22" t="s">
        <v>358</v>
      </c>
      <c r="D56" s="38" t="s">
        <v>348</v>
      </c>
      <c r="E56" s="260"/>
      <c r="F56" s="56" t="s">
        <v>350</v>
      </c>
      <c r="G56" s="51" t="s">
        <v>351</v>
      </c>
      <c r="H56" s="182"/>
      <c r="I56" s="366">
        <v>46991.33</v>
      </c>
      <c r="J56" s="182"/>
      <c r="K56" s="23">
        <f>J56/0.702804</f>
        <v>0</v>
      </c>
      <c r="L56" s="58">
        <f>0.101%+$L$7</f>
        <v>1.7590000000000001E-2</v>
      </c>
      <c r="M56" s="39">
        <v>2.5000000000000001E-3</v>
      </c>
      <c r="N56" s="35">
        <v>4</v>
      </c>
      <c r="O56" s="59"/>
      <c r="P56" s="37">
        <v>0</v>
      </c>
      <c r="Q56" s="25"/>
      <c r="R56" s="390"/>
      <c r="S56" s="60" t="s">
        <v>126</v>
      </c>
      <c r="T56" s="57"/>
      <c r="U56" s="57"/>
      <c r="V56" s="57">
        <v>9883</v>
      </c>
      <c r="W56" s="57">
        <v>9896</v>
      </c>
      <c r="X56" s="57">
        <v>9896</v>
      </c>
      <c r="Y56" s="57">
        <v>9896</v>
      </c>
      <c r="Z56" s="57">
        <v>7420.33</v>
      </c>
      <c r="AA56" s="184">
        <v>0</v>
      </c>
      <c r="AB56" s="184">
        <v>0</v>
      </c>
      <c r="AC56" s="184">
        <v>0</v>
      </c>
      <c r="AD56" s="184">
        <v>0</v>
      </c>
      <c r="AE56" s="184">
        <v>0</v>
      </c>
      <c r="AF56" s="1176">
        <f t="shared" si="1"/>
        <v>27212.33</v>
      </c>
      <c r="AG56" s="83"/>
      <c r="AH56" s="83"/>
    </row>
    <row r="57" spans="1:120" s="42" customFormat="1" ht="15" thickBot="1" x14ac:dyDescent="0.35">
      <c r="A57" s="1271"/>
      <c r="B57" s="287"/>
      <c r="C57" s="28"/>
      <c r="D57" s="28"/>
      <c r="E57" s="40"/>
      <c r="F57" s="40" t="s">
        <v>356</v>
      </c>
      <c r="G57" s="30"/>
      <c r="H57" s="180"/>
      <c r="I57" s="377"/>
      <c r="J57" s="189"/>
      <c r="K57" s="61"/>
      <c r="L57" s="28"/>
      <c r="M57" s="28"/>
      <c r="N57" s="28"/>
      <c r="O57" s="31"/>
      <c r="P57" s="29"/>
      <c r="Q57" s="32"/>
      <c r="R57" s="392"/>
      <c r="S57" s="33" t="s">
        <v>2</v>
      </c>
      <c r="T57" s="34"/>
      <c r="U57" s="34"/>
      <c r="V57" s="1170">
        <f>((SUM(V56:$AE56))*($L56+$M56))</f>
        <v>944.05581970000003</v>
      </c>
      <c r="W57" s="1170">
        <f>((SUM(W56:$AE56))*($L56+$M56))</f>
        <v>745.50634969999999</v>
      </c>
      <c r="X57" s="1170">
        <f>((SUM(X56:$AE56))*($L56+$M56))</f>
        <v>546.69570970000007</v>
      </c>
      <c r="Y57" s="1170">
        <f>((SUM(Y56:$AE56))*($L56+$M56))</f>
        <v>347.88506970000003</v>
      </c>
      <c r="Z57" s="1170">
        <f>((SUM(Z56:$AE56))*($L56+$M56))</f>
        <v>149.0744297</v>
      </c>
      <c r="AA57" s="1171">
        <f>((SUM(AA56:$AE56))*($L56+$M56))</f>
        <v>0</v>
      </c>
      <c r="AB57" s="1171">
        <f>((SUM(AB56:$AE56))*($L56+$M56))</f>
        <v>0</v>
      </c>
      <c r="AC57" s="1171">
        <f>((SUM(AC56:$AE56))*($L56+$M56))</f>
        <v>0</v>
      </c>
      <c r="AD57" s="1171">
        <f>((SUM(AD56:$AE56))*($L56+$M56))</f>
        <v>0</v>
      </c>
      <c r="AE57" s="1171">
        <f>((SUM(AE56:$AE56))*($L56+$M56))</f>
        <v>0</v>
      </c>
      <c r="AF57" s="1177">
        <f t="shared" si="1"/>
        <v>1043.6552091000001</v>
      </c>
      <c r="AG57" s="83"/>
      <c r="AH57" s="83"/>
    </row>
    <row r="58" spans="1:120" s="317" customFormat="1" x14ac:dyDescent="0.2">
      <c r="A58" s="1270">
        <v>17</v>
      </c>
      <c r="B58" s="21" t="s">
        <v>341</v>
      </c>
      <c r="C58" s="22" t="s">
        <v>641</v>
      </c>
      <c r="D58" s="38" t="s">
        <v>642</v>
      </c>
      <c r="E58" s="398"/>
      <c r="F58" s="56" t="s">
        <v>638</v>
      </c>
      <c r="G58" s="51" t="s">
        <v>643</v>
      </c>
      <c r="H58" s="182"/>
      <c r="I58" s="366">
        <v>581242</v>
      </c>
      <c r="J58" s="182"/>
      <c r="K58" s="23">
        <f>J58/0.702804</f>
        <v>0</v>
      </c>
      <c r="L58" s="58">
        <f>0.101%+$L$7</f>
        <v>1.7590000000000001E-2</v>
      </c>
      <c r="M58" s="39">
        <v>2.5000000000000001E-3</v>
      </c>
      <c r="N58" s="35">
        <v>4</v>
      </c>
      <c r="O58" s="59"/>
      <c r="P58" s="37">
        <v>0</v>
      </c>
      <c r="Q58" s="25"/>
      <c r="R58" s="390"/>
      <c r="S58" s="49" t="s">
        <v>126</v>
      </c>
      <c r="T58" s="399"/>
      <c r="U58" s="57"/>
      <c r="V58" s="57"/>
      <c r="W58" s="57">
        <v>58880</v>
      </c>
      <c r="X58" s="57">
        <v>58116</v>
      </c>
      <c r="Y58" s="57">
        <v>58116</v>
      </c>
      <c r="Z58" s="57">
        <v>58116</v>
      </c>
      <c r="AA58" s="57">
        <v>58116</v>
      </c>
      <c r="AB58" s="57">
        <v>58116</v>
      </c>
      <c r="AC58" s="57">
        <v>58116</v>
      </c>
      <c r="AD58" s="57">
        <v>58116</v>
      </c>
      <c r="AE58" s="57">
        <v>115550.12</v>
      </c>
      <c r="AF58" s="1176">
        <f t="shared" si="1"/>
        <v>522362.12</v>
      </c>
      <c r="AG58" s="83"/>
      <c r="AH58" s="83"/>
    </row>
    <row r="59" spans="1:120" s="317" customFormat="1" ht="15" thickBot="1" x14ac:dyDescent="0.35">
      <c r="A59" s="1271"/>
      <c r="B59" s="27"/>
      <c r="C59" s="28"/>
      <c r="D59" s="400"/>
      <c r="E59" s="401"/>
      <c r="F59" s="40"/>
      <c r="G59" s="30"/>
      <c r="H59" s="180"/>
      <c r="I59" s="377"/>
      <c r="J59" s="189"/>
      <c r="K59" s="61"/>
      <c r="L59" s="28"/>
      <c r="M59" s="28"/>
      <c r="N59" s="28"/>
      <c r="O59" s="31"/>
      <c r="P59" s="29"/>
      <c r="Q59" s="32"/>
      <c r="R59" s="392"/>
      <c r="S59" s="33" t="s">
        <v>2</v>
      </c>
      <c r="T59" s="402"/>
      <c r="U59" s="34"/>
      <c r="V59" s="34"/>
      <c r="W59" s="1170">
        <f>((SUM(W58:$AE58))*($L58+$M58))</f>
        <v>11677.1541908</v>
      </c>
      <c r="X59" s="1170">
        <f>((SUM(X58:$AE58))*($L58+$M58))</f>
        <v>10494.2549908</v>
      </c>
      <c r="Y59" s="1170">
        <f>((SUM(Y58:$AE58))*($L58+$M58))</f>
        <v>9326.7045507999992</v>
      </c>
      <c r="Z59" s="1170">
        <f>((SUM(Z58:$AE58))*($L58+$M58))</f>
        <v>8159.1541108000001</v>
      </c>
      <c r="AA59" s="1170">
        <f>((SUM(AA58:$AE58))*($L58+$M58))</f>
        <v>6991.6036708000001</v>
      </c>
      <c r="AB59" s="1170">
        <f>((SUM(AB58:$AE58))*($L58+$M58))</f>
        <v>5824.0532308000002</v>
      </c>
      <c r="AC59" s="1170">
        <f>((SUM(AC58:$AE58))*($L58+$M58))</f>
        <v>4656.5027908000002</v>
      </c>
      <c r="AD59" s="1170">
        <f>((SUM(AD58:$AE58))*($L58+$M58))</f>
        <v>3488.9523507999997</v>
      </c>
      <c r="AE59" s="1170">
        <f>((SUM(AE58:$AE58))*($L58+$M58))*3</f>
        <v>6964.2057323999998</v>
      </c>
      <c r="AF59" s="1177">
        <f t="shared" si="1"/>
        <v>55905.431427999996</v>
      </c>
      <c r="AG59" s="83"/>
      <c r="AH59" s="83"/>
    </row>
    <row r="60" spans="1:120" s="317" customFormat="1" x14ac:dyDescent="0.2">
      <c r="A60" s="1270">
        <v>18</v>
      </c>
      <c r="B60" s="21" t="s">
        <v>376</v>
      </c>
      <c r="C60" s="22" t="s">
        <v>546</v>
      </c>
      <c r="D60" s="38" t="s">
        <v>544</v>
      </c>
      <c r="E60" s="398"/>
      <c r="F60" s="56" t="s">
        <v>547</v>
      </c>
      <c r="G60" s="51" t="s">
        <v>545</v>
      </c>
      <c r="H60" s="182"/>
      <c r="I60" s="366">
        <v>141294</v>
      </c>
      <c r="J60" s="182"/>
      <c r="K60" s="23">
        <f>J60/0.702804</f>
        <v>0</v>
      </c>
      <c r="L60" s="58">
        <f>0.101%+$L$7</f>
        <v>1.7590000000000001E-2</v>
      </c>
      <c r="M60" s="39">
        <v>2.5000000000000001E-3</v>
      </c>
      <c r="N60" s="35">
        <v>4</v>
      </c>
      <c r="O60" s="59"/>
      <c r="P60" s="37">
        <v>0</v>
      </c>
      <c r="Q60" s="25"/>
      <c r="R60" s="390"/>
      <c r="S60" s="49" t="s">
        <v>126</v>
      </c>
      <c r="T60" s="399"/>
      <c r="U60" s="57"/>
      <c r="V60" s="57"/>
      <c r="W60" s="57">
        <v>29739</v>
      </c>
      <c r="X60" s="57">
        <v>29748</v>
      </c>
      <c r="Y60" s="57">
        <v>29748</v>
      </c>
      <c r="Z60" s="57">
        <v>29748</v>
      </c>
      <c r="AA60" s="57">
        <v>22311</v>
      </c>
      <c r="AB60" s="184">
        <v>0</v>
      </c>
      <c r="AC60" s="184">
        <v>0</v>
      </c>
      <c r="AD60" s="184">
        <v>0</v>
      </c>
      <c r="AE60" s="184">
        <v>0</v>
      </c>
      <c r="AF60" s="1176">
        <f t="shared" si="1"/>
        <v>111555</v>
      </c>
      <c r="AG60" s="83"/>
      <c r="AH60" s="83"/>
    </row>
    <row r="61" spans="1:120" s="317" customFormat="1" ht="15" thickBot="1" x14ac:dyDescent="0.35">
      <c r="A61" s="1271"/>
      <c r="B61" s="27"/>
      <c r="C61" s="28"/>
      <c r="D61" s="400"/>
      <c r="E61" s="401"/>
      <c r="F61" s="40"/>
      <c r="G61" s="30"/>
      <c r="H61" s="180"/>
      <c r="I61" s="377"/>
      <c r="J61" s="189"/>
      <c r="K61" s="61"/>
      <c r="L61" s="28"/>
      <c r="M61" s="28"/>
      <c r="N61" s="28"/>
      <c r="O61" s="31"/>
      <c r="P61" s="29"/>
      <c r="Q61" s="32"/>
      <c r="R61" s="392"/>
      <c r="S61" s="33" t="s">
        <v>2</v>
      </c>
      <c r="T61" s="402"/>
      <c r="U61" s="34"/>
      <c r="V61" s="34"/>
      <c r="W61" s="1170">
        <f>((SUM(W60:$AE60))*($L60+$M60))</f>
        <v>2838.5964600000002</v>
      </c>
      <c r="X61" s="1170">
        <f>((SUM(X60:$AE60))*($L60+$M60))</f>
        <v>2241.1399500000002</v>
      </c>
      <c r="Y61" s="1170">
        <f>((SUM(Y60:$AE60))*($L60+$M60))</f>
        <v>1643.50263</v>
      </c>
      <c r="Z61" s="1170">
        <f>((SUM(Z60:$AE60))*($L60+$M60))</f>
        <v>1045.8653099999999</v>
      </c>
      <c r="AA61" s="1170">
        <f>((SUM(AA60:$AE60))*($L60+$M60))</f>
        <v>448.22798999999998</v>
      </c>
      <c r="AB61" s="1171">
        <f>((SUM(AB60:$AE60))*($L60+$M60))</f>
        <v>0</v>
      </c>
      <c r="AC61" s="1171">
        <f>((SUM(AC60:$AE60))*($L60+$M60))</f>
        <v>0</v>
      </c>
      <c r="AD61" s="1171">
        <f>((SUM(AD60:$AE60))*($L60+$M60))</f>
        <v>0</v>
      </c>
      <c r="AE61" s="1171">
        <f>((SUM(AE60:$AE60))*($L60+$M60))</f>
        <v>0</v>
      </c>
      <c r="AF61" s="1177">
        <f t="shared" si="1"/>
        <v>5378.7358800000002</v>
      </c>
      <c r="AG61" s="83"/>
      <c r="AH61" s="83"/>
    </row>
    <row r="62" spans="1:120" s="317" customFormat="1" x14ac:dyDescent="0.2">
      <c r="A62" s="1270">
        <v>19</v>
      </c>
      <c r="B62" s="21" t="s">
        <v>542</v>
      </c>
      <c r="C62" s="22" t="s">
        <v>644</v>
      </c>
      <c r="D62" s="38" t="s">
        <v>645</v>
      </c>
      <c r="E62" s="398"/>
      <c r="F62" s="56" t="s">
        <v>638</v>
      </c>
      <c r="G62" s="51" t="s">
        <v>643</v>
      </c>
      <c r="H62" s="182"/>
      <c r="I62" s="366">
        <v>697002</v>
      </c>
      <c r="J62" s="182"/>
      <c r="K62" s="23">
        <f>J62/0.702804</f>
        <v>0</v>
      </c>
      <c r="L62" s="58">
        <f>0.101%+$L$7</f>
        <v>1.7590000000000001E-2</v>
      </c>
      <c r="M62" s="39">
        <v>2.5000000000000001E-3</v>
      </c>
      <c r="N62" s="35">
        <v>4</v>
      </c>
      <c r="O62" s="59"/>
      <c r="P62" s="37">
        <v>0</v>
      </c>
      <c r="Q62" s="25"/>
      <c r="R62" s="390"/>
      <c r="S62" s="49" t="s">
        <v>126</v>
      </c>
      <c r="T62" s="399"/>
      <c r="U62" s="57"/>
      <c r="V62" s="57"/>
      <c r="W62" s="57">
        <v>36654</v>
      </c>
      <c r="X62" s="57">
        <f>73372</f>
        <v>73372</v>
      </c>
      <c r="Y62" s="57">
        <v>73372</v>
      </c>
      <c r="Z62" s="57">
        <v>73372</v>
      </c>
      <c r="AA62" s="57">
        <v>73372</v>
      </c>
      <c r="AB62" s="57">
        <v>73372</v>
      </c>
      <c r="AC62" s="57">
        <v>73372</v>
      </c>
      <c r="AD62" s="57">
        <v>73372</v>
      </c>
      <c r="AE62" s="57">
        <f>146744</f>
        <v>146744</v>
      </c>
      <c r="AF62" s="1176">
        <f t="shared" si="1"/>
        <v>660348</v>
      </c>
      <c r="AG62" s="83"/>
      <c r="AH62" s="83"/>
    </row>
    <row r="63" spans="1:120" s="317" customFormat="1" ht="15" thickBot="1" x14ac:dyDescent="0.35">
      <c r="A63" s="1271"/>
      <c r="B63" s="27"/>
      <c r="C63" s="28"/>
      <c r="D63" s="400"/>
      <c r="E63" s="401"/>
      <c r="F63" s="40"/>
      <c r="G63" s="30"/>
      <c r="H63" s="180"/>
      <c r="I63" s="377"/>
      <c r="J63" s="189"/>
      <c r="K63" s="61"/>
      <c r="L63" s="28"/>
      <c r="M63" s="28"/>
      <c r="N63" s="28"/>
      <c r="O63" s="31"/>
      <c r="P63" s="29"/>
      <c r="Q63" s="32"/>
      <c r="R63" s="392"/>
      <c r="S63" s="33" t="s">
        <v>2</v>
      </c>
      <c r="T63" s="402"/>
      <c r="U63" s="34"/>
      <c r="V63" s="34"/>
      <c r="W63" s="1170">
        <f>((SUM(W62:$AE62))*($L62+$M62))</f>
        <v>14002.77018</v>
      </c>
      <c r="X63" s="1170">
        <f>((SUM(X62:$AE62))*($L62+$M62))</f>
        <v>13266.391320000001</v>
      </c>
      <c r="Y63" s="1170">
        <f>((SUM(Y62:$AE62))*($L62+$M62))</f>
        <v>11792.34784</v>
      </c>
      <c r="Z63" s="1170">
        <f>((SUM(Z62:$AE62))*($L62+$M62))</f>
        <v>10318.30436</v>
      </c>
      <c r="AA63" s="1170">
        <f>((SUM(AA62:$AE62))*($L62+$M62))</f>
        <v>8844.2608799999998</v>
      </c>
      <c r="AB63" s="1170">
        <f>((SUM(AB62:$AE62))*($L62+$M62))</f>
        <v>7370.2174000000005</v>
      </c>
      <c r="AC63" s="1170">
        <f>((SUM(AC62:$AE62))*($L62+$M62))</f>
        <v>5896.1739200000002</v>
      </c>
      <c r="AD63" s="1170">
        <f>((SUM(AD62:$AE62))*($L62+$M62))</f>
        <v>4422.1304399999999</v>
      </c>
      <c r="AE63" s="1170">
        <f>((SUM(AE62:$AE62))*($L62+$M62))*4</f>
        <v>11792.34784</v>
      </c>
      <c r="AF63" s="1177">
        <f t="shared" si="1"/>
        <v>73702.173999999999</v>
      </c>
      <c r="AG63" s="83"/>
      <c r="AH63" s="83"/>
    </row>
    <row r="64" spans="1:120" s="42" customFormat="1" ht="12.6" customHeight="1" x14ac:dyDescent="0.2">
      <c r="A64" s="1270">
        <v>20</v>
      </c>
      <c r="B64" s="21" t="s">
        <v>684</v>
      </c>
      <c r="C64" s="22" t="s">
        <v>359</v>
      </c>
      <c r="D64" s="38" t="s">
        <v>349</v>
      </c>
      <c r="E64" s="260"/>
      <c r="F64" s="56" t="s">
        <v>350</v>
      </c>
      <c r="G64" s="51" t="s">
        <v>351</v>
      </c>
      <c r="H64" s="182"/>
      <c r="I64" s="366">
        <f>53218</f>
        <v>53218</v>
      </c>
      <c r="J64" s="182"/>
      <c r="K64" s="23">
        <f>J64/0.702804</f>
        <v>0</v>
      </c>
      <c r="L64" s="58">
        <f>0.101%+$L$7</f>
        <v>1.7590000000000001E-2</v>
      </c>
      <c r="M64" s="39">
        <v>2.5000000000000001E-3</v>
      </c>
      <c r="N64" s="35">
        <v>4</v>
      </c>
      <c r="O64" s="59"/>
      <c r="P64" s="37">
        <v>0</v>
      </c>
      <c r="Q64" s="25"/>
      <c r="R64" s="390"/>
      <c r="S64" s="49" t="s">
        <v>126</v>
      </c>
      <c r="T64" s="57"/>
      <c r="U64" s="57"/>
      <c r="V64" s="57">
        <v>11430</v>
      </c>
      <c r="W64" s="57">
        <v>11448</v>
      </c>
      <c r="X64" s="57">
        <v>11448</v>
      </c>
      <c r="Y64" s="57">
        <v>11448</v>
      </c>
      <c r="Z64" s="57">
        <v>7444</v>
      </c>
      <c r="AA64" s="184">
        <v>0</v>
      </c>
      <c r="AB64" s="184">
        <v>0</v>
      </c>
      <c r="AC64" s="184">
        <v>0</v>
      </c>
      <c r="AD64" s="184">
        <v>0</v>
      </c>
      <c r="AE64" s="184">
        <v>0</v>
      </c>
      <c r="AF64" s="1176">
        <f t="shared" si="1"/>
        <v>30340</v>
      </c>
      <c r="AG64" s="83"/>
      <c r="AH64" s="83"/>
    </row>
    <row r="65" spans="1:34" s="42" customFormat="1" ht="15" thickBot="1" x14ac:dyDescent="0.35">
      <c r="A65" s="1271"/>
      <c r="B65" s="27"/>
      <c r="C65" s="28"/>
      <c r="D65" s="28"/>
      <c r="E65" s="40"/>
      <c r="F65" s="40"/>
      <c r="G65" s="30"/>
      <c r="H65" s="180"/>
      <c r="I65" s="377"/>
      <c r="J65" s="189"/>
      <c r="K65" s="61"/>
      <c r="L65" s="28"/>
      <c r="M65" s="28"/>
      <c r="N65" s="28"/>
      <c r="O65" s="31"/>
      <c r="P65" s="29"/>
      <c r="Q65" s="32"/>
      <c r="R65" s="392"/>
      <c r="S65" s="33" t="s">
        <v>2</v>
      </c>
      <c r="T65" s="34"/>
      <c r="U65" s="34"/>
      <c r="V65" s="1170">
        <f>((SUM(V64:$AE64))*($L64+$M64))</f>
        <v>1069.1496199999999</v>
      </c>
      <c r="W65" s="1170">
        <f>((SUM(W64:$AE64))*($L64+$M64))</f>
        <v>839.52092000000005</v>
      </c>
      <c r="X65" s="1170">
        <f>((SUM(X64:$AE64))*($L64+$M64))</f>
        <v>609.53060000000005</v>
      </c>
      <c r="Y65" s="1170">
        <f>((SUM(Y64:$AE64))*($L64+$M64))</f>
        <v>379.54028</v>
      </c>
      <c r="Z65" s="1170">
        <f>((SUM(Z64:$AE64))*($L64+$M64))</f>
        <v>149.54996</v>
      </c>
      <c r="AA65" s="1171">
        <f>((SUM(AA64:$AE64))*($L64+$M64))</f>
        <v>0</v>
      </c>
      <c r="AB65" s="1171">
        <f>((SUM(AB64:$AE64))*($L64+$M64))</f>
        <v>0</v>
      </c>
      <c r="AC65" s="1171">
        <f>((SUM(AC64:$AE64))*($L64+$M64))</f>
        <v>0</v>
      </c>
      <c r="AD65" s="1171">
        <f>((SUM(AD64:$AE64))*($L64+$M64))</f>
        <v>0</v>
      </c>
      <c r="AE65" s="1171">
        <f>((SUM(AE64:$AE64))*($L64+$M64))</f>
        <v>0</v>
      </c>
      <c r="AF65" s="1177">
        <f t="shared" si="1"/>
        <v>1138.62084</v>
      </c>
      <c r="AG65" s="83"/>
      <c r="AH65" s="83"/>
    </row>
    <row r="66" spans="1:34" s="42" customFormat="1" ht="12.6" customHeight="1" x14ac:dyDescent="0.2">
      <c r="A66" s="1270">
        <v>21</v>
      </c>
      <c r="B66" s="21" t="s">
        <v>715</v>
      </c>
      <c r="C66" s="22" t="s">
        <v>1532</v>
      </c>
      <c r="D66" s="38" t="s">
        <v>1533</v>
      </c>
      <c r="E66" s="260"/>
      <c r="F66" s="56" t="s">
        <v>733</v>
      </c>
      <c r="G66" s="51" t="s">
        <v>734</v>
      </c>
      <c r="H66" s="182"/>
      <c r="I66" s="366">
        <v>496340</v>
      </c>
      <c r="J66" s="182"/>
      <c r="K66" s="23">
        <f>J66/0.702804</f>
        <v>0</v>
      </c>
      <c r="L66" s="58">
        <f>0.101%+$L$7</f>
        <v>1.7590000000000001E-2</v>
      </c>
      <c r="M66" s="39">
        <v>2.5000000000000001E-3</v>
      </c>
      <c r="N66" s="35">
        <v>4</v>
      </c>
      <c r="O66" s="59"/>
      <c r="P66" s="37">
        <v>0</v>
      </c>
      <c r="Q66" s="25"/>
      <c r="R66" s="390"/>
      <c r="S66" s="49" t="s">
        <v>126</v>
      </c>
      <c r="T66" s="57"/>
      <c r="U66" s="57"/>
      <c r="V66" s="57"/>
      <c r="W66" s="57"/>
      <c r="X66" s="57">
        <v>26815</v>
      </c>
      <c r="Y66" s="57">
        <v>47782.7</v>
      </c>
      <c r="Z66" s="57">
        <v>47782.7</v>
      </c>
      <c r="AA66" s="57">
        <v>47782.7</v>
      </c>
      <c r="AB66" s="57">
        <v>47782.7</v>
      </c>
      <c r="AC66" s="57">
        <v>47782.7</v>
      </c>
      <c r="AD66" s="57">
        <v>47782.7</v>
      </c>
      <c r="AE66" s="57">
        <v>182828.79999999999</v>
      </c>
      <c r="AF66" s="1176">
        <f t="shared" si="1"/>
        <v>496340</v>
      </c>
      <c r="AG66" s="83"/>
      <c r="AH66" s="83"/>
    </row>
    <row r="67" spans="1:34" s="42" customFormat="1" ht="15" thickBot="1" x14ac:dyDescent="0.35">
      <c r="A67" s="1271"/>
      <c r="B67" s="27" t="s">
        <v>716</v>
      </c>
      <c r="C67" s="28"/>
      <c r="D67" s="28" t="s">
        <v>1534</v>
      </c>
      <c r="E67" s="40"/>
      <c r="F67" s="40"/>
      <c r="G67" s="30"/>
      <c r="H67" s="180"/>
      <c r="I67" s="377"/>
      <c r="J67" s="189"/>
      <c r="K67" s="61"/>
      <c r="L67" s="28"/>
      <c r="M67" s="28"/>
      <c r="N67" s="28"/>
      <c r="O67" s="31"/>
      <c r="P67" s="29"/>
      <c r="Q67" s="32"/>
      <c r="R67" s="392"/>
      <c r="S67" s="33" t="s">
        <v>2</v>
      </c>
      <c r="T67" s="34"/>
      <c r="U67" s="34"/>
      <c r="V67" s="34"/>
      <c r="W67" s="34"/>
      <c r="X67" s="1170">
        <f>((SUM(X66:$AE66))*($L66+$M66))</f>
        <v>9971.4706000000006</v>
      </c>
      <c r="Y67" s="1170">
        <f>((SUM(Y66:$AE66))*($L66+$M66))</f>
        <v>9432.7572500000006</v>
      </c>
      <c r="Z67" s="1170">
        <f>((SUM(Z66:$AE66))*($L66+$M66))</f>
        <v>8472.802807</v>
      </c>
      <c r="AA67" s="1170">
        <f>((SUM(AA66:$AE66))*($L66+$M66))</f>
        <v>7512.8483639999995</v>
      </c>
      <c r="AB67" s="1170">
        <f>((SUM(AB66:$AE66))*($L66+$M66))</f>
        <v>6552.893920999999</v>
      </c>
      <c r="AC67" s="1170">
        <f>((SUM(AC66:$AE66))*($L66+$M66))</f>
        <v>5592.9394779999993</v>
      </c>
      <c r="AD67" s="1170">
        <f>((SUM(AD66:$AE66))*($L66+$M66))</f>
        <v>4632.9850349999997</v>
      </c>
      <c r="AE67" s="1170">
        <f>((SUM(AE66:$AE66))*($L66+$M66))*3</f>
        <v>11019.091775999999</v>
      </c>
      <c r="AF67" s="1177">
        <f t="shared" si="1"/>
        <v>63187.789230999995</v>
      </c>
      <c r="AG67" s="83"/>
      <c r="AH67" s="83"/>
    </row>
    <row r="68" spans="1:34" s="42" customFormat="1" ht="12.6" customHeight="1" x14ac:dyDescent="0.2">
      <c r="A68" s="1270">
        <v>22</v>
      </c>
      <c r="B68" s="21" t="s">
        <v>687</v>
      </c>
      <c r="C68" s="22" t="s">
        <v>725</v>
      </c>
      <c r="D68" s="38" t="s">
        <v>726</v>
      </c>
      <c r="E68" s="260"/>
      <c r="F68" s="56" t="s">
        <v>727</v>
      </c>
      <c r="G68" s="51" t="s">
        <v>728</v>
      </c>
      <c r="H68" s="182"/>
      <c r="I68" s="366">
        <v>96800</v>
      </c>
      <c r="J68" s="182"/>
      <c r="K68" s="23">
        <f>J68/0.702804</f>
        <v>0</v>
      </c>
      <c r="L68" s="58">
        <f>0.101%+$L$7</f>
        <v>1.7590000000000001E-2</v>
      </c>
      <c r="M68" s="39">
        <v>2.5000000000000001E-3</v>
      </c>
      <c r="N68" s="35">
        <v>4</v>
      </c>
      <c r="O68" s="59"/>
      <c r="P68" s="37">
        <v>0</v>
      </c>
      <c r="Q68" s="25"/>
      <c r="R68" s="390"/>
      <c r="S68" s="49" t="s">
        <v>126</v>
      </c>
      <c r="T68" s="57"/>
      <c r="U68" s="57"/>
      <c r="V68" s="57"/>
      <c r="W68" s="57"/>
      <c r="X68" s="57">
        <v>20375</v>
      </c>
      <c r="Y68" s="57">
        <v>20380</v>
      </c>
      <c r="Z68" s="57">
        <v>20380</v>
      </c>
      <c r="AA68" s="57">
        <v>20380</v>
      </c>
      <c r="AB68" s="57">
        <v>15285</v>
      </c>
      <c r="AC68" s="184">
        <v>0</v>
      </c>
      <c r="AD68" s="184">
        <v>0</v>
      </c>
      <c r="AE68" s="184">
        <v>0</v>
      </c>
      <c r="AF68" s="1176">
        <f t="shared" si="1"/>
        <v>96800</v>
      </c>
      <c r="AG68" s="83"/>
      <c r="AH68" s="83"/>
    </row>
    <row r="69" spans="1:34" s="42" customFormat="1" ht="15" thickBot="1" x14ac:dyDescent="0.35">
      <c r="A69" s="1271"/>
      <c r="B69" s="27" t="s">
        <v>688</v>
      </c>
      <c r="C69" s="28"/>
      <c r="D69" s="28"/>
      <c r="E69" s="40"/>
      <c r="F69" s="40"/>
      <c r="G69" s="30"/>
      <c r="H69" s="180"/>
      <c r="I69" s="377"/>
      <c r="J69" s="189"/>
      <c r="K69" s="61"/>
      <c r="L69" s="28"/>
      <c r="M69" s="28"/>
      <c r="N69" s="28"/>
      <c r="O69" s="31"/>
      <c r="P69" s="29"/>
      <c r="Q69" s="32"/>
      <c r="R69" s="392"/>
      <c r="S69" s="33" t="s">
        <v>2</v>
      </c>
      <c r="T69" s="34"/>
      <c r="U69" s="34"/>
      <c r="V69" s="34"/>
      <c r="W69" s="34"/>
      <c r="X69" s="1170">
        <f>((SUM(X68:$AE68))*($L68+$M68))</f>
        <v>1944.712</v>
      </c>
      <c r="Y69" s="1170">
        <f>((SUM(Y68:$AE68))*($L68+$M68))</f>
        <v>1535.37825</v>
      </c>
      <c r="Z69" s="1170">
        <f>((SUM(Z68:$AE68))*($L68+$M68))</f>
        <v>1125.9440500000001</v>
      </c>
      <c r="AA69" s="1170">
        <f>((SUM(AA68:$AE68))*($L68+$M68))</f>
        <v>716.50985000000003</v>
      </c>
      <c r="AB69" s="1170">
        <f>((SUM(AB68:$AE68))*($L68+$M68))</f>
        <v>307.07565</v>
      </c>
      <c r="AC69" s="1171">
        <f>((SUM(AC68:$AE68))*($L68+$M68))</f>
        <v>0</v>
      </c>
      <c r="AD69" s="1171">
        <f>((SUM(AD68:$AE68))*($L68+$M68))</f>
        <v>0</v>
      </c>
      <c r="AE69" s="1171">
        <f>((SUM(AE68:$AE68))*($L68+$M68))</f>
        <v>0</v>
      </c>
      <c r="AF69" s="1177">
        <f t="shared" si="1"/>
        <v>5629.6198000000004</v>
      </c>
      <c r="AG69" s="83"/>
      <c r="AH69" s="83"/>
    </row>
    <row r="70" spans="1:34" s="42" customFormat="1" ht="13.2" customHeight="1" x14ac:dyDescent="0.2">
      <c r="A70" s="1168">
        <v>23</v>
      </c>
      <c r="B70" s="1535" t="s">
        <v>407</v>
      </c>
      <c r="C70" s="1529" t="s">
        <v>456</v>
      </c>
      <c r="D70" s="1541" t="s">
        <v>455</v>
      </c>
      <c r="E70" s="260"/>
      <c r="F70" s="1552" t="s">
        <v>408</v>
      </c>
      <c r="G70" s="1550" t="s">
        <v>519</v>
      </c>
      <c r="H70" s="182"/>
      <c r="I70" s="1531">
        <v>5678344.2000000002</v>
      </c>
      <c r="J70" s="182"/>
      <c r="K70" s="23"/>
      <c r="L70" s="58">
        <f>$L$7</f>
        <v>1.6580000000000001E-2</v>
      </c>
      <c r="M70" s="39">
        <f>$M$7</f>
        <v>2.5000000000000001E-3</v>
      </c>
      <c r="N70" s="35"/>
      <c r="O70" s="59"/>
      <c r="P70" s="37"/>
      <c r="Q70" s="25"/>
      <c r="R70" s="390"/>
      <c r="S70" s="49" t="s">
        <v>126</v>
      </c>
      <c r="T70" s="57">
        <v>3976000</v>
      </c>
      <c r="U70" s="57"/>
      <c r="V70" s="57">
        <v>552592</v>
      </c>
      <c r="W70" s="57">
        <v>508856</v>
      </c>
      <c r="X70" s="57">
        <v>434960</v>
      </c>
      <c r="Y70" s="57">
        <v>395316</v>
      </c>
      <c r="Z70" s="57">
        <v>363420</v>
      </c>
      <c r="AA70" s="57">
        <v>344336</v>
      </c>
      <c r="AB70" s="57">
        <v>314856</v>
      </c>
      <c r="AC70" s="57">
        <v>305080</v>
      </c>
      <c r="AD70" s="57">
        <v>279984</v>
      </c>
      <c r="AE70" s="57">
        <v>1029192</v>
      </c>
      <c r="AF70" s="1274">
        <f t="shared" si="1"/>
        <v>3467144</v>
      </c>
      <c r="AG70" s="83"/>
      <c r="AH70" s="83"/>
    </row>
    <row r="71" spans="1:34" s="42" customFormat="1" ht="15" thickBot="1" x14ac:dyDescent="0.35">
      <c r="A71" s="1169"/>
      <c r="B71" s="1545"/>
      <c r="C71" s="1530"/>
      <c r="D71" s="1534"/>
      <c r="E71" s="40"/>
      <c r="F71" s="1530"/>
      <c r="G71" s="1530"/>
      <c r="H71" s="180"/>
      <c r="I71" s="1555"/>
      <c r="J71" s="189"/>
      <c r="K71" s="61"/>
      <c r="L71" s="28"/>
      <c r="M71" s="28"/>
      <c r="N71" s="28"/>
      <c r="O71" s="31"/>
      <c r="P71" s="29"/>
      <c r="Q71" s="32"/>
      <c r="R71" s="392"/>
      <c r="S71" s="33" t="s">
        <v>2</v>
      </c>
      <c r="T71" s="34"/>
      <c r="U71" s="34"/>
      <c r="V71" s="1170">
        <v>6000</v>
      </c>
      <c r="W71" s="1170">
        <v>9940</v>
      </c>
      <c r="X71" s="1170">
        <f>((SUM(X70:$AE70))*($L70+$M70))</f>
        <v>66153.107520000005</v>
      </c>
      <c r="Y71" s="1170">
        <f>((SUM(Y70:$AE70))*($L70+$M70))</f>
        <v>57854.070719999996</v>
      </c>
      <c r="Z71" s="1170">
        <f>((SUM(Z70:$AE70))*($L70+$M70))</f>
        <v>50311.441440000002</v>
      </c>
      <c r="AA71" s="1170">
        <f>((SUM(AA70:$AE70))*($L70+$M70))</f>
        <v>43377.387839999996</v>
      </c>
      <c r="AB71" s="1170">
        <f>((SUM(AB70:$AE70))*($L70+$M70))</f>
        <v>36807.456959999996</v>
      </c>
      <c r="AC71" s="1170">
        <f>((SUM(AC70:$AE70))*($L70+$M70))</f>
        <v>30800.00448</v>
      </c>
      <c r="AD71" s="1170">
        <f>((SUM(AD70:$AE70))*($L70+$M70))</f>
        <v>24979.078079999999</v>
      </c>
      <c r="AE71" s="1170">
        <f>((SUM(AE70:$AE70))*($L70+$M70))*6</f>
        <v>117821.90015999999</v>
      </c>
      <c r="AF71" s="1275">
        <f t="shared" si="1"/>
        <v>428104.44719999994</v>
      </c>
      <c r="AG71" s="83"/>
      <c r="AH71" s="83"/>
    </row>
    <row r="72" spans="1:34" s="42" customFormat="1" ht="13.2" customHeight="1" x14ac:dyDescent="0.2">
      <c r="A72" s="1168">
        <v>24</v>
      </c>
      <c r="B72" s="1546" t="s">
        <v>409</v>
      </c>
      <c r="C72" s="1541" t="s">
        <v>458</v>
      </c>
      <c r="D72" s="1541" t="s">
        <v>457</v>
      </c>
      <c r="E72" s="260"/>
      <c r="F72" s="1551" t="s">
        <v>410</v>
      </c>
      <c r="G72" s="1541" t="s">
        <v>520</v>
      </c>
      <c r="H72" s="182"/>
      <c r="I72" s="1531">
        <v>2075409</v>
      </c>
      <c r="J72" s="182"/>
      <c r="K72" s="23"/>
      <c r="L72" s="58">
        <f>$L$7</f>
        <v>1.6580000000000001E-2</v>
      </c>
      <c r="M72" s="39">
        <f>$M$7</f>
        <v>2.5000000000000001E-3</v>
      </c>
      <c r="N72" s="35"/>
      <c r="O72" s="59"/>
      <c r="P72" s="37"/>
      <c r="Q72" s="25"/>
      <c r="R72" s="390"/>
      <c r="S72" s="49" t="s">
        <v>126</v>
      </c>
      <c r="T72" s="57">
        <v>1809890</v>
      </c>
      <c r="U72" s="57"/>
      <c r="V72" s="57">
        <v>265519</v>
      </c>
      <c r="W72" s="57">
        <v>248648</v>
      </c>
      <c r="X72" s="57">
        <v>150040</v>
      </c>
      <c r="Y72" s="57">
        <v>128252</v>
      </c>
      <c r="Z72" s="57">
        <v>123200</v>
      </c>
      <c r="AA72" s="57">
        <v>121648</v>
      </c>
      <c r="AB72" s="57">
        <v>117000</v>
      </c>
      <c r="AC72" s="57">
        <v>117000</v>
      </c>
      <c r="AD72" s="57">
        <v>117000</v>
      </c>
      <c r="AE72" s="57">
        <v>687102</v>
      </c>
      <c r="AF72" s="1274">
        <f t="shared" si="1"/>
        <v>1561242</v>
      </c>
      <c r="AG72" s="83"/>
      <c r="AH72" s="83"/>
    </row>
    <row r="73" spans="1:34" s="42" customFormat="1" ht="15" thickBot="1" x14ac:dyDescent="0.35">
      <c r="A73" s="1169"/>
      <c r="B73" s="1547"/>
      <c r="C73" s="1542"/>
      <c r="D73" s="1542"/>
      <c r="E73" s="40"/>
      <c r="F73" s="1544"/>
      <c r="G73" s="1542"/>
      <c r="H73" s="180"/>
      <c r="I73" s="1555"/>
      <c r="J73" s="189"/>
      <c r="K73" s="61"/>
      <c r="L73" s="28"/>
      <c r="M73" s="28"/>
      <c r="N73" s="28"/>
      <c r="O73" s="31"/>
      <c r="P73" s="29"/>
      <c r="Q73" s="32"/>
      <c r="R73" s="392"/>
      <c r="S73" s="33" t="s">
        <v>2</v>
      </c>
      <c r="T73" s="34"/>
      <c r="U73" s="34"/>
      <c r="V73" s="1170">
        <v>5500</v>
      </c>
      <c r="W73" s="1170">
        <v>4524.7250000000004</v>
      </c>
      <c r="X73" s="1170">
        <f>((SUM(X72:$AE72))*($L72+$M72))</f>
        <v>29788.497360000001</v>
      </c>
      <c r="Y73" s="1170">
        <f>((SUM(Y72:$AE72))*($L72+$M72))</f>
        <v>26925.73416</v>
      </c>
      <c r="Z73" s="1170">
        <f>((SUM(Z72:$AE72))*($L72+$M72))</f>
        <v>24478.685999999998</v>
      </c>
      <c r="AA73" s="1170">
        <f>((SUM(AA72:$AE72))*($L72+$M72))</f>
        <v>22128.03</v>
      </c>
      <c r="AB73" s="1170">
        <f>((SUM(AB72:$AE72))*($L72+$M72))</f>
        <v>19806.98616</v>
      </c>
      <c r="AC73" s="1170">
        <f>((SUM(AC72:$AE72))*($L72+$M72))</f>
        <v>17574.62616</v>
      </c>
      <c r="AD73" s="1170">
        <f>((SUM(AD72:$AE72))*($L72+$M72))</f>
        <v>15342.266159999999</v>
      </c>
      <c r="AE73" s="1170">
        <f>((SUM(AE72:$AE72))*($L72+$M72))*8.5</f>
        <v>111434.20236000001</v>
      </c>
      <c r="AF73" s="1275">
        <f t="shared" si="1"/>
        <v>267479.02836</v>
      </c>
      <c r="AG73" s="83"/>
      <c r="AH73" s="83"/>
    </row>
    <row r="74" spans="1:34" s="42" customFormat="1" ht="13.2" customHeight="1" x14ac:dyDescent="0.2">
      <c r="A74" s="1168">
        <v>25</v>
      </c>
      <c r="B74" s="1535" t="s">
        <v>411</v>
      </c>
      <c r="C74" s="1541" t="s">
        <v>460</v>
      </c>
      <c r="D74" s="1541" t="s">
        <v>459</v>
      </c>
      <c r="E74" s="260"/>
      <c r="F74" s="1543" t="s">
        <v>412</v>
      </c>
      <c r="G74" s="1529" t="s">
        <v>521</v>
      </c>
      <c r="H74" s="182"/>
      <c r="I74" s="1531">
        <v>484935.32</v>
      </c>
      <c r="J74" s="182"/>
      <c r="K74" s="23"/>
      <c r="L74" s="58">
        <f>$L$7</f>
        <v>1.6580000000000001E-2</v>
      </c>
      <c r="M74" s="39">
        <f>$M$7</f>
        <v>2.5000000000000001E-3</v>
      </c>
      <c r="N74" s="35"/>
      <c r="O74" s="59"/>
      <c r="P74" s="37"/>
      <c r="Q74" s="25"/>
      <c r="R74" s="390"/>
      <c r="S74" s="49" t="s">
        <v>126</v>
      </c>
      <c r="T74" s="57">
        <v>330070</v>
      </c>
      <c r="U74" s="57"/>
      <c r="V74" s="57">
        <v>20312</v>
      </c>
      <c r="W74" s="57">
        <v>20312</v>
      </c>
      <c r="X74" s="57">
        <v>20312</v>
      </c>
      <c r="Y74" s="57">
        <v>20312</v>
      </c>
      <c r="Z74" s="57">
        <v>20312</v>
      </c>
      <c r="AA74" s="57">
        <v>20312</v>
      </c>
      <c r="AB74" s="57">
        <v>20312</v>
      </c>
      <c r="AC74" s="57">
        <v>20312</v>
      </c>
      <c r="AD74" s="57">
        <v>20312</v>
      </c>
      <c r="AE74" s="57">
        <v>167574</v>
      </c>
      <c r="AF74" s="1274">
        <f t="shared" si="1"/>
        <v>309758</v>
      </c>
      <c r="AG74" s="83"/>
      <c r="AH74" s="83"/>
    </row>
    <row r="75" spans="1:34" s="42" customFormat="1" ht="15" thickBot="1" x14ac:dyDescent="0.35">
      <c r="A75" s="1169"/>
      <c r="B75" s="1536"/>
      <c r="C75" s="1542"/>
      <c r="D75" s="1542"/>
      <c r="E75" s="40"/>
      <c r="F75" s="1544"/>
      <c r="G75" s="1530"/>
      <c r="H75" s="180"/>
      <c r="I75" s="1555"/>
      <c r="J75" s="189"/>
      <c r="K75" s="61"/>
      <c r="L75" s="28"/>
      <c r="M75" s="28"/>
      <c r="N75" s="28"/>
      <c r="O75" s="31"/>
      <c r="P75" s="29"/>
      <c r="Q75" s="32"/>
      <c r="R75" s="392"/>
      <c r="S75" s="33" t="s">
        <v>2</v>
      </c>
      <c r="T75" s="34"/>
      <c r="U75" s="34"/>
      <c r="V75" s="1170">
        <v>1000</v>
      </c>
      <c r="W75" s="1170">
        <v>841.6785000000001</v>
      </c>
      <c r="X75" s="1170">
        <f>((SUM(X74:$AE74))*($L74+$M74))</f>
        <v>5910.18264</v>
      </c>
      <c r="Y75" s="1170">
        <f>((SUM(Y74:$AE74))*($L74+$M74))</f>
        <v>5522.62968</v>
      </c>
      <c r="Z75" s="1170">
        <f>((SUM(Z74:$AE74))*($L74+$M74))</f>
        <v>5135.07672</v>
      </c>
      <c r="AA75" s="1170">
        <f>((SUM(AA74:$AE74))*($L74+$M74))</f>
        <v>4747.52376</v>
      </c>
      <c r="AB75" s="1170">
        <f>((SUM(AB74:$AE74))*($L74+$M74))</f>
        <v>4359.9708000000001</v>
      </c>
      <c r="AC75" s="1170">
        <f>((SUM(AC74:$AE74))*($L74+$M74))</f>
        <v>3972.4178400000001</v>
      </c>
      <c r="AD75" s="1170">
        <f>((SUM(AD74:$AE74))*($L74+$M74))</f>
        <v>3584.8648800000001</v>
      </c>
      <c r="AE75" s="1170">
        <f>((SUM(AE74:$AE74))*($L74+$M74))*8.3</f>
        <v>26537.688936000002</v>
      </c>
      <c r="AF75" s="1275">
        <f t="shared" si="1"/>
        <v>59770.35525600001</v>
      </c>
      <c r="AG75" s="83"/>
      <c r="AH75" s="83"/>
    </row>
    <row r="76" spans="1:34" s="42" customFormat="1" ht="13.2" customHeight="1" x14ac:dyDescent="0.2">
      <c r="A76" s="1168">
        <v>26</v>
      </c>
      <c r="B76" s="1535" t="s">
        <v>413</v>
      </c>
      <c r="C76" s="1541" t="s">
        <v>462</v>
      </c>
      <c r="D76" s="1541" t="s">
        <v>461</v>
      </c>
      <c r="E76" s="260"/>
      <c r="F76" s="1543" t="s">
        <v>414</v>
      </c>
      <c r="G76" s="1529" t="s">
        <v>522</v>
      </c>
      <c r="H76" s="182"/>
      <c r="I76" s="1531">
        <v>55899</v>
      </c>
      <c r="J76" s="182"/>
      <c r="K76" s="23"/>
      <c r="L76" s="58">
        <f>$L$7</f>
        <v>1.6580000000000001E-2</v>
      </c>
      <c r="M76" s="39">
        <f>$M$7</f>
        <v>2.5000000000000001E-3</v>
      </c>
      <c r="N76" s="35"/>
      <c r="O76" s="59"/>
      <c r="P76" s="37"/>
      <c r="Q76" s="25"/>
      <c r="R76" s="390"/>
      <c r="S76" s="49" t="s">
        <v>126</v>
      </c>
      <c r="T76" s="57">
        <v>31304</v>
      </c>
      <c r="U76" s="57"/>
      <c r="V76" s="57">
        <v>8944</v>
      </c>
      <c r="W76" s="57">
        <v>8944</v>
      </c>
      <c r="X76" s="57">
        <v>8944</v>
      </c>
      <c r="Y76" s="57">
        <v>8944</v>
      </c>
      <c r="Z76" s="57">
        <v>4472</v>
      </c>
      <c r="AA76" s="184">
        <v>0</v>
      </c>
      <c r="AB76" s="184">
        <v>0</v>
      </c>
      <c r="AC76" s="184">
        <v>0</v>
      </c>
      <c r="AD76" s="184">
        <v>0</v>
      </c>
      <c r="AE76" s="184">
        <v>0</v>
      </c>
      <c r="AF76" s="1274">
        <f t="shared" ref="AF76:AF107" si="2">SUM(X76:AE76)</f>
        <v>22360</v>
      </c>
      <c r="AG76" s="83"/>
      <c r="AH76" s="83"/>
    </row>
    <row r="77" spans="1:34" s="42" customFormat="1" ht="15" thickBot="1" x14ac:dyDescent="0.35">
      <c r="A77" s="1169"/>
      <c r="B77" s="1536"/>
      <c r="C77" s="1542"/>
      <c r="D77" s="1542"/>
      <c r="E77" s="40"/>
      <c r="F77" s="1544"/>
      <c r="G77" s="1530"/>
      <c r="H77" s="180"/>
      <c r="I77" s="1555"/>
      <c r="J77" s="189"/>
      <c r="K77" s="61"/>
      <c r="L77" s="28"/>
      <c r="M77" s="28"/>
      <c r="N77" s="28"/>
      <c r="O77" s="31"/>
      <c r="P77" s="29"/>
      <c r="Q77" s="32"/>
      <c r="R77" s="392"/>
      <c r="S77" s="33" t="s">
        <v>2</v>
      </c>
      <c r="T77" s="34"/>
      <c r="U77" s="34"/>
      <c r="V77" s="1170">
        <v>120</v>
      </c>
      <c r="W77" s="1170">
        <v>79.825200000000009</v>
      </c>
      <c r="X77" s="1170">
        <f>((SUM(X76:$AE76))*($L76+$M76))</f>
        <v>426.62880000000001</v>
      </c>
      <c r="Y77" s="1170">
        <f>((SUM(Y76:$AE76))*($L76+$M76))</f>
        <v>255.97728000000001</v>
      </c>
      <c r="Z77" s="1170">
        <f>((SUM(Z76:$AE76))*($L76+$M76))</f>
        <v>85.325760000000002</v>
      </c>
      <c r="AA77" s="1171">
        <f>((SUM(AA76:$AE76))*($L76+$M76))</f>
        <v>0</v>
      </c>
      <c r="AB77" s="1171">
        <f>((SUM(AB76:$AE76))*($L76+$M76))</f>
        <v>0</v>
      </c>
      <c r="AC77" s="1171">
        <f>((SUM(AC76:$AE76))*($L76+$M76))</f>
        <v>0</v>
      </c>
      <c r="AD77" s="1171">
        <f>((SUM(AD76:$AE76))*($L76+$M76))</f>
        <v>0</v>
      </c>
      <c r="AE77" s="1171">
        <f>((SUM(AE76:$AE76))*($L76+$M76))</f>
        <v>0</v>
      </c>
      <c r="AF77" s="1275">
        <f t="shared" si="2"/>
        <v>767.93183999999997</v>
      </c>
      <c r="AG77" s="83"/>
      <c r="AH77" s="83"/>
    </row>
    <row r="78" spans="1:34" s="42" customFormat="1" ht="13.2" customHeight="1" x14ac:dyDescent="0.2">
      <c r="A78" s="1168">
        <v>27</v>
      </c>
      <c r="B78" s="1535" t="s">
        <v>415</v>
      </c>
      <c r="C78" s="1541" t="s">
        <v>464</v>
      </c>
      <c r="D78" s="1541" t="s">
        <v>463</v>
      </c>
      <c r="E78" s="260"/>
      <c r="F78" s="1529" t="s">
        <v>414</v>
      </c>
      <c r="G78" s="1529" t="s">
        <v>523</v>
      </c>
      <c r="H78" s="182"/>
      <c r="I78" s="1556">
        <v>8518.4</v>
      </c>
      <c r="J78" s="182"/>
      <c r="K78" s="23"/>
      <c r="L78" s="58">
        <f>$L$7</f>
        <v>1.6580000000000001E-2</v>
      </c>
      <c r="M78" s="39">
        <f>$M$7</f>
        <v>2.5000000000000001E-3</v>
      </c>
      <c r="N78" s="35"/>
      <c r="O78" s="59"/>
      <c r="P78" s="37"/>
      <c r="Q78" s="25"/>
      <c r="R78" s="390"/>
      <c r="S78" s="49" t="s">
        <v>126</v>
      </c>
      <c r="T78" s="57">
        <v>2844</v>
      </c>
      <c r="U78" s="57"/>
      <c r="V78" s="57">
        <v>1896</v>
      </c>
      <c r="W78" s="57">
        <v>1896</v>
      </c>
      <c r="X78" s="57">
        <v>948</v>
      </c>
      <c r="Y78" s="184">
        <v>0</v>
      </c>
      <c r="Z78" s="184">
        <v>0</v>
      </c>
      <c r="AA78" s="184">
        <v>0</v>
      </c>
      <c r="AB78" s="184">
        <v>0</v>
      </c>
      <c r="AC78" s="184">
        <v>0</v>
      </c>
      <c r="AD78" s="184">
        <v>0</v>
      </c>
      <c r="AE78" s="184">
        <v>0</v>
      </c>
      <c r="AF78" s="1274">
        <f t="shared" si="2"/>
        <v>948</v>
      </c>
      <c r="AG78" s="83"/>
      <c r="AH78" s="83"/>
    </row>
    <row r="79" spans="1:34" s="42" customFormat="1" ht="15" thickBot="1" x14ac:dyDescent="0.35">
      <c r="A79" s="1169"/>
      <c r="B79" s="1540"/>
      <c r="C79" s="1542"/>
      <c r="D79" s="1542"/>
      <c r="E79" s="40"/>
      <c r="F79" s="1534"/>
      <c r="G79" s="1530"/>
      <c r="H79" s="180"/>
      <c r="I79" s="1555"/>
      <c r="J79" s="189"/>
      <c r="K79" s="61"/>
      <c r="L79" s="28"/>
      <c r="M79" s="28"/>
      <c r="N79" s="28"/>
      <c r="O79" s="31"/>
      <c r="P79" s="29"/>
      <c r="Q79" s="32"/>
      <c r="R79" s="392"/>
      <c r="S79" s="33" t="s">
        <v>2</v>
      </c>
      <c r="T79" s="34"/>
      <c r="U79" s="34"/>
      <c r="V79" s="1170">
        <v>125</v>
      </c>
      <c r="W79" s="1170">
        <v>7.2522000000000002</v>
      </c>
      <c r="X79" s="1170">
        <f>((SUM(X78:$AE78))*($L78+$M78))</f>
        <v>18.08784</v>
      </c>
      <c r="Y79" s="1171">
        <f>((SUM(Y78:$AE78))*($L78+$M78))</f>
        <v>0</v>
      </c>
      <c r="Z79" s="1171">
        <f>((SUM(Z78:$AE78))*($L78+$M78))</f>
        <v>0</v>
      </c>
      <c r="AA79" s="1171">
        <f>((SUM(AA78:$AE78))*($L78+$M78))</f>
        <v>0</v>
      </c>
      <c r="AB79" s="1171">
        <f>((SUM(AB78:$AE78))*($L78+$M78))</f>
        <v>0</v>
      </c>
      <c r="AC79" s="1171">
        <f>((SUM(AC78:$AE78))*($L78+$M78))</f>
        <v>0</v>
      </c>
      <c r="AD79" s="1171">
        <f>((SUM(AD78:$AE78))*($L78+$M78))</f>
        <v>0</v>
      </c>
      <c r="AE79" s="1171">
        <f>((SUM(AE78:$AE78))*($L78+$M78))</f>
        <v>0</v>
      </c>
      <c r="AF79" s="1275">
        <f t="shared" si="2"/>
        <v>18.08784</v>
      </c>
      <c r="AG79" s="83"/>
      <c r="AH79" s="83"/>
    </row>
    <row r="80" spans="1:34" s="42" customFormat="1" ht="13.2" customHeight="1" x14ac:dyDescent="0.2">
      <c r="A80" s="1168">
        <v>28</v>
      </c>
      <c r="B80" s="1535" t="s">
        <v>416</v>
      </c>
      <c r="C80" s="1541" t="s">
        <v>466</v>
      </c>
      <c r="D80" s="1541" t="s">
        <v>465</v>
      </c>
      <c r="E80" s="260"/>
      <c r="F80" s="1543" t="s">
        <v>414</v>
      </c>
      <c r="G80" s="1529" t="s">
        <v>524</v>
      </c>
      <c r="H80" s="182"/>
      <c r="I80" s="1531">
        <v>238897.15</v>
      </c>
      <c r="J80" s="182"/>
      <c r="K80" s="23"/>
      <c r="L80" s="58">
        <f>$L$7</f>
        <v>1.6580000000000001E-2</v>
      </c>
      <c r="M80" s="39">
        <f>$M$7</f>
        <v>2.5000000000000001E-3</v>
      </c>
      <c r="N80" s="35"/>
      <c r="O80" s="59"/>
      <c r="P80" s="37"/>
      <c r="Q80" s="25"/>
      <c r="R80" s="390"/>
      <c r="S80" s="49" t="s">
        <v>126</v>
      </c>
      <c r="T80" s="57">
        <v>174900</v>
      </c>
      <c r="U80" s="57"/>
      <c r="V80" s="57">
        <v>10600</v>
      </c>
      <c r="W80" s="57">
        <v>10600</v>
      </c>
      <c r="X80" s="57">
        <v>10600</v>
      </c>
      <c r="Y80" s="57">
        <v>10600</v>
      </c>
      <c r="Z80" s="57">
        <v>10600</v>
      </c>
      <c r="AA80" s="57">
        <v>10600</v>
      </c>
      <c r="AB80" s="57">
        <v>10600</v>
      </c>
      <c r="AC80" s="57">
        <v>10600</v>
      </c>
      <c r="AD80" s="57">
        <v>10600</v>
      </c>
      <c r="AE80" s="57">
        <v>90100</v>
      </c>
      <c r="AF80" s="1274">
        <f t="shared" si="2"/>
        <v>164300</v>
      </c>
      <c r="AG80" s="83"/>
      <c r="AH80" s="83"/>
    </row>
    <row r="81" spans="1:34" s="42" customFormat="1" ht="15" thickBot="1" x14ac:dyDescent="0.35">
      <c r="A81" s="1169"/>
      <c r="B81" s="1536"/>
      <c r="C81" s="1542"/>
      <c r="D81" s="1542"/>
      <c r="E81" s="40"/>
      <c r="F81" s="1544"/>
      <c r="G81" s="1530"/>
      <c r="H81" s="180"/>
      <c r="I81" s="1555"/>
      <c r="J81" s="189"/>
      <c r="K81" s="61"/>
      <c r="L81" s="28"/>
      <c r="M81" s="28"/>
      <c r="N81" s="28"/>
      <c r="O81" s="31"/>
      <c r="P81" s="29"/>
      <c r="Q81" s="32"/>
      <c r="R81" s="392"/>
      <c r="S81" s="33" t="s">
        <v>2</v>
      </c>
      <c r="T81" s="34"/>
      <c r="U81" s="34"/>
      <c r="V81" s="1170">
        <v>1000</v>
      </c>
      <c r="W81" s="1170">
        <v>445.995</v>
      </c>
      <c r="X81" s="1170">
        <f>((SUM(X80:$AE80))*($L80+$M80))</f>
        <v>3134.8440000000001</v>
      </c>
      <c r="Y81" s="1170">
        <f>((SUM(Y80:$AE80))*($L80+$M80))</f>
        <v>2932.596</v>
      </c>
      <c r="Z81" s="1170">
        <f>((SUM(Z80:$AE80))*($L80+$M80))</f>
        <v>2730.348</v>
      </c>
      <c r="AA81" s="1170">
        <f>((SUM(AA80:$AE80))*($L80+$M80))</f>
        <v>2528.1</v>
      </c>
      <c r="AB81" s="1170">
        <f>((SUM(AB80:$AE80))*($L80+$M80))</f>
        <v>2325.8519999999999</v>
      </c>
      <c r="AC81" s="1170">
        <f>((SUM(AC80:$AE80))*($L80+$M80))</f>
        <v>2123.6039999999998</v>
      </c>
      <c r="AD81" s="1170">
        <f>((SUM(AD80:$AE80))*($L80+$M80))</f>
        <v>1921.356</v>
      </c>
      <c r="AE81" s="1170">
        <f>((SUM(AE80:$AE80))*($L80+$M80))*8.5</f>
        <v>14612.418</v>
      </c>
      <c r="AF81" s="1275">
        <f t="shared" si="2"/>
        <v>32309.118000000002</v>
      </c>
      <c r="AG81" s="83"/>
      <c r="AH81" s="83"/>
    </row>
    <row r="82" spans="1:34" s="42" customFormat="1" ht="13.2" customHeight="1" x14ac:dyDescent="0.2">
      <c r="A82" s="1168">
        <v>29</v>
      </c>
      <c r="B82" s="1535" t="s">
        <v>417</v>
      </c>
      <c r="C82" s="1541" t="s">
        <v>468</v>
      </c>
      <c r="D82" s="1541" t="s">
        <v>467</v>
      </c>
      <c r="E82" s="260"/>
      <c r="F82" s="1543" t="s">
        <v>414</v>
      </c>
      <c r="G82" s="1529" t="s">
        <v>525</v>
      </c>
      <c r="H82" s="182"/>
      <c r="I82" s="1531">
        <v>49472</v>
      </c>
      <c r="J82" s="182"/>
      <c r="K82" s="23"/>
      <c r="L82" s="58">
        <f>$L$7</f>
        <v>1.6580000000000001E-2</v>
      </c>
      <c r="M82" s="39">
        <f>$M$7</f>
        <v>2.5000000000000001E-3</v>
      </c>
      <c r="N82" s="35"/>
      <c r="O82" s="59"/>
      <c r="P82" s="37"/>
      <c r="Q82" s="25"/>
      <c r="R82" s="390"/>
      <c r="S82" s="49" t="s">
        <v>126</v>
      </c>
      <c r="T82" s="57">
        <v>39928</v>
      </c>
      <c r="U82" s="57"/>
      <c r="V82" s="57">
        <v>3472</v>
      </c>
      <c r="W82" s="57">
        <v>3472</v>
      </c>
      <c r="X82" s="57">
        <v>3472</v>
      </c>
      <c r="Y82" s="57">
        <v>3472</v>
      </c>
      <c r="Z82" s="57">
        <v>3472</v>
      </c>
      <c r="AA82" s="57">
        <v>3472</v>
      </c>
      <c r="AB82" s="57">
        <v>3472</v>
      </c>
      <c r="AC82" s="57">
        <v>3472</v>
      </c>
      <c r="AD82" s="57">
        <v>3472</v>
      </c>
      <c r="AE82" s="57">
        <v>12152</v>
      </c>
      <c r="AF82" s="1274">
        <f t="shared" si="2"/>
        <v>36456</v>
      </c>
      <c r="AG82" s="83"/>
      <c r="AH82" s="83"/>
    </row>
    <row r="83" spans="1:34" s="42" customFormat="1" ht="15" thickBot="1" x14ac:dyDescent="0.35">
      <c r="A83" s="1169"/>
      <c r="B83" s="1536"/>
      <c r="C83" s="1542"/>
      <c r="D83" s="1542"/>
      <c r="E83" s="40"/>
      <c r="F83" s="1544"/>
      <c r="G83" s="1530"/>
      <c r="H83" s="180"/>
      <c r="I83" s="1555"/>
      <c r="J83" s="189"/>
      <c r="K83" s="61"/>
      <c r="L83" s="28"/>
      <c r="M83" s="28"/>
      <c r="N83" s="28"/>
      <c r="O83" s="31"/>
      <c r="P83" s="29"/>
      <c r="Q83" s="32"/>
      <c r="R83" s="392"/>
      <c r="S83" s="33" t="s">
        <v>2</v>
      </c>
      <c r="T83" s="34"/>
      <c r="U83" s="34"/>
      <c r="V83" s="1170">
        <v>125</v>
      </c>
      <c r="W83" s="1170">
        <v>101.8164</v>
      </c>
      <c r="X83" s="1170">
        <f>((SUM(X82:$AE82))*($L82+$M82))</f>
        <v>695.58047999999997</v>
      </c>
      <c r="Y83" s="1170">
        <f>((SUM(Y82:$AE82))*($L82+$M82))</f>
        <v>629.33471999999995</v>
      </c>
      <c r="Z83" s="1170">
        <f>((SUM(Z82:$AE82))*($L82+$M82))</f>
        <v>563.08896000000004</v>
      </c>
      <c r="AA83" s="1170">
        <f>((SUM(AA82:$AE82))*($L82+$M82))</f>
        <v>496.84319999999997</v>
      </c>
      <c r="AB83" s="1170">
        <f>((SUM(AB82:$AE82))*($L82+$M82))</f>
        <v>430.59744000000001</v>
      </c>
      <c r="AC83" s="1170">
        <f>((SUM(AC82:$AE82))*($L82+$M82))</f>
        <v>364.35167999999999</v>
      </c>
      <c r="AD83" s="1170">
        <f>((SUM(AD82:$AE82))*($L82+$M82))</f>
        <v>298.10591999999997</v>
      </c>
      <c r="AE83" s="1170">
        <f>((SUM(AE82:$AE82))*($L82+$M82))*3.5</f>
        <v>811.51056000000005</v>
      </c>
      <c r="AF83" s="1275">
        <f t="shared" si="2"/>
        <v>4289.4129599999997</v>
      </c>
      <c r="AG83" s="83"/>
      <c r="AH83" s="83"/>
    </row>
    <row r="84" spans="1:34" s="42" customFormat="1" ht="13.2" customHeight="1" x14ac:dyDescent="0.2">
      <c r="A84" s="1168">
        <v>30</v>
      </c>
      <c r="B84" s="1535" t="s">
        <v>418</v>
      </c>
      <c r="C84" s="1541" t="s">
        <v>470</v>
      </c>
      <c r="D84" s="1541" t="s">
        <v>469</v>
      </c>
      <c r="E84" s="260"/>
      <c r="F84" s="1543" t="s">
        <v>414</v>
      </c>
      <c r="G84" s="1529" t="s">
        <v>524</v>
      </c>
      <c r="H84" s="182"/>
      <c r="I84" s="1531">
        <v>278611.39</v>
      </c>
      <c r="J84" s="182"/>
      <c r="K84" s="23"/>
      <c r="L84" s="58">
        <f>$L$7</f>
        <v>1.6580000000000001E-2</v>
      </c>
      <c r="M84" s="39">
        <f>$M$7</f>
        <v>2.5000000000000001E-3</v>
      </c>
      <c r="N84" s="35"/>
      <c r="O84" s="59"/>
      <c r="P84" s="37"/>
      <c r="Q84" s="25"/>
      <c r="R84" s="390"/>
      <c r="S84" s="49" t="s">
        <v>126</v>
      </c>
      <c r="T84" s="57">
        <v>238854</v>
      </c>
      <c r="U84" s="57"/>
      <c r="V84" s="57">
        <v>14476</v>
      </c>
      <c r="W84" s="57">
        <v>14476</v>
      </c>
      <c r="X84" s="57">
        <v>14476</v>
      </c>
      <c r="Y84" s="57">
        <v>14476</v>
      </c>
      <c r="Z84" s="57">
        <v>14476</v>
      </c>
      <c r="AA84" s="57">
        <v>14476</v>
      </c>
      <c r="AB84" s="57">
        <v>14476</v>
      </c>
      <c r="AC84" s="57">
        <v>14476</v>
      </c>
      <c r="AD84" s="57">
        <v>14476</v>
      </c>
      <c r="AE84" s="57">
        <v>123046</v>
      </c>
      <c r="AF84" s="1274">
        <f t="shared" si="2"/>
        <v>224378</v>
      </c>
      <c r="AG84" s="83"/>
      <c r="AH84" s="83"/>
    </row>
    <row r="85" spans="1:34" s="42" customFormat="1" ht="15" thickBot="1" x14ac:dyDescent="0.35">
      <c r="A85" s="1169"/>
      <c r="B85" s="1536"/>
      <c r="C85" s="1542"/>
      <c r="D85" s="1542"/>
      <c r="E85" s="40"/>
      <c r="F85" s="1544"/>
      <c r="G85" s="1530"/>
      <c r="H85" s="180"/>
      <c r="I85" s="1555"/>
      <c r="J85" s="189"/>
      <c r="K85" s="61"/>
      <c r="L85" s="28"/>
      <c r="M85" s="28"/>
      <c r="N85" s="28"/>
      <c r="O85" s="31"/>
      <c r="P85" s="29"/>
      <c r="Q85" s="32"/>
      <c r="R85" s="392"/>
      <c r="S85" s="33" t="s">
        <v>2</v>
      </c>
      <c r="T85" s="34"/>
      <c r="U85" s="34"/>
      <c r="V85" s="1170">
        <v>120</v>
      </c>
      <c r="W85" s="1170">
        <v>609.07770000000005</v>
      </c>
      <c r="X85" s="1170">
        <f>((SUM(X84:$AE84))*($L84+$M84))</f>
        <v>4281.1322399999999</v>
      </c>
      <c r="Y85" s="1170">
        <f>((SUM(Y84:$AE84))*($L84+$M84))</f>
        <v>4004.9301599999999</v>
      </c>
      <c r="Z85" s="1170">
        <f>((SUM(Z84:$AE84))*($L84+$M84))</f>
        <v>3728.7280799999999</v>
      </c>
      <c r="AA85" s="1170">
        <f>((SUM(AA84:$AE84))*($L84+$M84))</f>
        <v>3452.5259999999998</v>
      </c>
      <c r="AB85" s="1170">
        <f>((SUM(AB84:$AE84))*($L84+$M84))</f>
        <v>3176.3239199999998</v>
      </c>
      <c r="AC85" s="1170">
        <f>((SUM(AC84:$AE84))*($L84+$M84))</f>
        <v>2900.1218399999998</v>
      </c>
      <c r="AD85" s="1170">
        <f>((SUM(AD84:$AE84))*($L84+$M84))</f>
        <v>2623.9197599999998</v>
      </c>
      <c r="AE85" s="1170">
        <f>((SUM(AE84:$AE84))*($L84+$M84))*8.5</f>
        <v>19955.600279999999</v>
      </c>
      <c r="AF85" s="1275">
        <f t="shared" si="2"/>
        <v>44123.282279999999</v>
      </c>
      <c r="AG85" s="83"/>
      <c r="AH85" s="83"/>
    </row>
    <row r="86" spans="1:34" s="42" customFormat="1" ht="13.2" customHeight="1" x14ac:dyDescent="0.2">
      <c r="A86" s="1168">
        <v>31</v>
      </c>
      <c r="B86" s="1535" t="s">
        <v>419</v>
      </c>
      <c r="C86" s="1541" t="s">
        <v>472</v>
      </c>
      <c r="D86" s="1541" t="s">
        <v>471</v>
      </c>
      <c r="E86" s="260"/>
      <c r="F86" s="1543" t="s">
        <v>420</v>
      </c>
      <c r="G86" s="1529" t="s">
        <v>526</v>
      </c>
      <c r="H86" s="182"/>
      <c r="I86" s="1531">
        <v>34291</v>
      </c>
      <c r="J86" s="182"/>
      <c r="K86" s="23"/>
      <c r="L86" s="58">
        <f>$L$7</f>
        <v>1.6580000000000001E-2</v>
      </c>
      <c r="M86" s="39">
        <f>$M$7</f>
        <v>2.5000000000000001E-3</v>
      </c>
      <c r="N86" s="35"/>
      <c r="O86" s="59"/>
      <c r="P86" s="37"/>
      <c r="Q86" s="25"/>
      <c r="R86" s="390"/>
      <c r="S86" s="49" t="s">
        <v>126</v>
      </c>
      <c r="T86" s="57">
        <v>23266</v>
      </c>
      <c r="U86" s="57"/>
      <c r="V86" s="57">
        <v>3684</v>
      </c>
      <c r="W86" s="57">
        <v>3684</v>
      </c>
      <c r="X86" s="57">
        <v>3616</v>
      </c>
      <c r="Y86" s="57">
        <v>3548</v>
      </c>
      <c r="Z86" s="57">
        <v>3548</v>
      </c>
      <c r="AA86" s="57">
        <v>3548</v>
      </c>
      <c r="AB86" s="57">
        <v>3548</v>
      </c>
      <c r="AC86" s="57">
        <v>1774</v>
      </c>
      <c r="AD86" s="184">
        <v>0</v>
      </c>
      <c r="AE86" s="184">
        <v>0</v>
      </c>
      <c r="AF86" s="1274">
        <f t="shared" si="2"/>
        <v>19582</v>
      </c>
      <c r="AG86" s="83"/>
      <c r="AH86" s="83"/>
    </row>
    <row r="87" spans="1:34" s="42" customFormat="1" ht="15" thickBot="1" x14ac:dyDescent="0.35">
      <c r="A87" s="1169"/>
      <c r="B87" s="1536"/>
      <c r="C87" s="1542"/>
      <c r="D87" s="1542"/>
      <c r="E87" s="40"/>
      <c r="F87" s="1544"/>
      <c r="G87" s="1530"/>
      <c r="H87" s="180"/>
      <c r="I87" s="1555"/>
      <c r="J87" s="189"/>
      <c r="K87" s="61"/>
      <c r="L87" s="28"/>
      <c r="M87" s="28"/>
      <c r="N87" s="28"/>
      <c r="O87" s="31"/>
      <c r="P87" s="29"/>
      <c r="Q87" s="32"/>
      <c r="R87" s="392"/>
      <c r="S87" s="33" t="s">
        <v>2</v>
      </c>
      <c r="T87" s="34"/>
      <c r="U87" s="34"/>
      <c r="V87" s="1170">
        <v>250</v>
      </c>
      <c r="W87" s="1170">
        <v>59.328300000000006</v>
      </c>
      <c r="X87" s="1170">
        <f>((SUM(X86:$AE86))*($L86+$M86))</f>
        <v>373.62455999999997</v>
      </c>
      <c r="Y87" s="1170">
        <f>((SUM(Y86:$AE86))*($L86+$M86))</f>
        <v>304.63128</v>
      </c>
      <c r="Z87" s="1170">
        <f>((SUM(Z86:$AE86))*($L86+$M86))</f>
        <v>236.93544</v>
      </c>
      <c r="AA87" s="1170">
        <f>((SUM(AA86:$AE86))*($L86+$M86))</f>
        <v>169.2396</v>
      </c>
      <c r="AB87" s="1170">
        <f>((SUM(AB86:$AE86))*($L86+$M86))</f>
        <v>101.54375999999999</v>
      </c>
      <c r="AC87" s="1170">
        <f>((SUM(AC86:$AE86))*($L86+$M86))</f>
        <v>33.847920000000002</v>
      </c>
      <c r="AD87" s="1171">
        <f>((SUM(AD86:$AE86))*($L86+$M86))</f>
        <v>0</v>
      </c>
      <c r="AE87" s="1171">
        <f>((SUM(AE86:$AE86))*($L86+$M86))</f>
        <v>0</v>
      </c>
      <c r="AF87" s="1275">
        <f t="shared" si="2"/>
        <v>1219.8225599999998</v>
      </c>
      <c r="AG87" s="83"/>
      <c r="AH87" s="83"/>
    </row>
    <row r="88" spans="1:34" s="42" customFormat="1" ht="13.2" customHeight="1" x14ac:dyDescent="0.2">
      <c r="A88" s="1168">
        <v>32</v>
      </c>
      <c r="B88" s="1535" t="s">
        <v>421</v>
      </c>
      <c r="C88" s="1541" t="s">
        <v>474</v>
      </c>
      <c r="D88" s="1541" t="s">
        <v>473</v>
      </c>
      <c r="E88" s="260"/>
      <c r="F88" s="1543" t="s">
        <v>422</v>
      </c>
      <c r="G88" s="1529" t="s">
        <v>527</v>
      </c>
      <c r="H88" s="182"/>
      <c r="I88" s="1531">
        <v>3496295</v>
      </c>
      <c r="J88" s="182"/>
      <c r="K88" s="23"/>
      <c r="L88" s="58">
        <f>$L$7</f>
        <v>1.6580000000000001E-2</v>
      </c>
      <c r="M88" s="39">
        <f>$M$7</f>
        <v>2.5000000000000001E-3</v>
      </c>
      <c r="N88" s="35"/>
      <c r="O88" s="59"/>
      <c r="P88" s="37"/>
      <c r="Q88" s="25"/>
      <c r="R88" s="390"/>
      <c r="S88" s="49" t="s">
        <v>126</v>
      </c>
      <c r="T88" s="57">
        <v>3370393</v>
      </c>
      <c r="U88" s="57"/>
      <c r="V88" s="57">
        <v>125902</v>
      </c>
      <c r="W88" s="57">
        <v>125996</v>
      </c>
      <c r="X88" s="57">
        <v>125996</v>
      </c>
      <c r="Y88" s="57">
        <v>125996</v>
      </c>
      <c r="Z88" s="57">
        <v>125996</v>
      </c>
      <c r="AA88" s="57">
        <v>125996</v>
      </c>
      <c r="AB88" s="57">
        <v>125996</v>
      </c>
      <c r="AC88" s="57">
        <v>125996</v>
      </c>
      <c r="AD88" s="57">
        <v>125996</v>
      </c>
      <c r="AE88" s="57">
        <v>2362425</v>
      </c>
      <c r="AF88" s="1274">
        <f t="shared" si="2"/>
        <v>3244397</v>
      </c>
      <c r="AG88" s="83"/>
      <c r="AH88" s="83"/>
    </row>
    <row r="89" spans="1:34" s="42" customFormat="1" ht="15" thickBot="1" x14ac:dyDescent="0.35">
      <c r="A89" s="1169"/>
      <c r="B89" s="1536"/>
      <c r="C89" s="1542"/>
      <c r="D89" s="1542"/>
      <c r="E89" s="40"/>
      <c r="F89" s="1544"/>
      <c r="G89" s="1530"/>
      <c r="H89" s="180"/>
      <c r="I89" s="1555"/>
      <c r="J89" s="189"/>
      <c r="K89" s="61"/>
      <c r="L89" s="28"/>
      <c r="M89" s="28"/>
      <c r="N89" s="28"/>
      <c r="O89" s="31"/>
      <c r="P89" s="29"/>
      <c r="Q89" s="32"/>
      <c r="R89" s="392"/>
      <c r="S89" s="33" t="s">
        <v>2</v>
      </c>
      <c r="T89" s="34"/>
      <c r="U89" s="34"/>
      <c r="V89" s="1170">
        <v>10000</v>
      </c>
      <c r="W89" s="1170">
        <v>8493.3903600000012</v>
      </c>
      <c r="X89" s="1170">
        <f>((SUM(X88:$AE88))*($L88+$M88))</f>
        <v>61903.09476</v>
      </c>
      <c r="Y89" s="1170">
        <f>((SUM(Y88:$AE88))*($L88+$M88))</f>
        <v>59499.091079999998</v>
      </c>
      <c r="Z89" s="1170">
        <f>((SUM(Z88:$AE88))*($L88+$M88))</f>
        <v>57095.087399999997</v>
      </c>
      <c r="AA89" s="1170">
        <f>((SUM(AA88:$AE88))*($L88+$M88))</f>
        <v>54691.083720000002</v>
      </c>
      <c r="AB89" s="1170">
        <f>((SUM(AB88:$AE88))*($L88+$M88))</f>
        <v>52287.080040000001</v>
      </c>
      <c r="AC89" s="1170">
        <f>((SUM(AC88:$AE88))*($L88+$M88))</f>
        <v>49883.076359999999</v>
      </c>
      <c r="AD89" s="1170">
        <f>((SUM(AD88:$AE88))*($L88+$M88))</f>
        <v>47479.072679999997</v>
      </c>
      <c r="AE89" s="1170">
        <f>((SUM(AE88:$AE88))*($L88+$M88))*18</f>
        <v>811351.24199999997</v>
      </c>
      <c r="AF89" s="1275">
        <f t="shared" si="2"/>
        <v>1194188.8280400001</v>
      </c>
      <c r="AG89" s="83"/>
      <c r="AH89" s="83"/>
    </row>
    <row r="90" spans="1:34" s="42" customFormat="1" ht="13.2" customHeight="1" x14ac:dyDescent="0.2">
      <c r="A90" s="1168">
        <v>33</v>
      </c>
      <c r="B90" s="1535" t="s">
        <v>423</v>
      </c>
      <c r="C90" s="1541" t="s">
        <v>476</v>
      </c>
      <c r="D90" s="1541" t="s">
        <v>475</v>
      </c>
      <c r="E90" s="260"/>
      <c r="F90" s="1543" t="s">
        <v>422</v>
      </c>
      <c r="G90" s="1529" t="s">
        <v>527</v>
      </c>
      <c r="H90" s="182"/>
      <c r="I90" s="1531">
        <v>2614009</v>
      </c>
      <c r="J90" s="182"/>
      <c r="K90" s="23"/>
      <c r="L90" s="58">
        <f>$L$7</f>
        <v>1.6580000000000001E-2</v>
      </c>
      <c r="M90" s="39">
        <f>$M$7</f>
        <v>2.5000000000000001E-3</v>
      </c>
      <c r="N90" s="35"/>
      <c r="O90" s="59"/>
      <c r="P90" s="37"/>
      <c r="Q90" s="25"/>
      <c r="R90" s="390"/>
      <c r="S90" s="49" t="s">
        <v>126</v>
      </c>
      <c r="T90" s="57">
        <v>2519850</v>
      </c>
      <c r="U90" s="57"/>
      <c r="V90" s="57">
        <v>94159</v>
      </c>
      <c r="W90" s="57">
        <v>94200</v>
      </c>
      <c r="X90" s="57">
        <v>94200</v>
      </c>
      <c r="Y90" s="57">
        <v>94200</v>
      </c>
      <c r="Z90" s="57">
        <v>94200</v>
      </c>
      <c r="AA90" s="57">
        <v>94200</v>
      </c>
      <c r="AB90" s="57">
        <v>94200</v>
      </c>
      <c r="AC90" s="57">
        <v>94200</v>
      </c>
      <c r="AD90" s="57">
        <v>94200</v>
      </c>
      <c r="AE90" s="57">
        <v>1766250</v>
      </c>
      <c r="AF90" s="1274">
        <f t="shared" si="2"/>
        <v>2425650</v>
      </c>
      <c r="AG90" s="83"/>
      <c r="AH90" s="83"/>
    </row>
    <row r="91" spans="1:34" s="42" customFormat="1" ht="15" thickBot="1" x14ac:dyDescent="0.35">
      <c r="A91" s="1169"/>
      <c r="B91" s="1536"/>
      <c r="C91" s="1542"/>
      <c r="D91" s="1542"/>
      <c r="E91" s="40"/>
      <c r="F91" s="1544"/>
      <c r="G91" s="1530"/>
      <c r="H91" s="180"/>
      <c r="I91" s="1555"/>
      <c r="J91" s="189"/>
      <c r="K91" s="61"/>
      <c r="L91" s="28"/>
      <c r="M91" s="28"/>
      <c r="N91" s="28"/>
      <c r="O91" s="31"/>
      <c r="P91" s="29"/>
      <c r="Q91" s="32"/>
      <c r="R91" s="392"/>
      <c r="S91" s="33" t="s">
        <v>2</v>
      </c>
      <c r="T91" s="34"/>
      <c r="U91" s="34"/>
      <c r="V91" s="1171">
        <v>0</v>
      </c>
      <c r="W91" s="1170">
        <v>6350.0219999999999</v>
      </c>
      <c r="X91" s="1170">
        <f>((SUM(X90:$AE90))*($L90+$M90))</f>
        <v>46281.402000000002</v>
      </c>
      <c r="Y91" s="1170">
        <f>((SUM(Y90:$AE90))*($L90+$M90))</f>
        <v>44484.065999999999</v>
      </c>
      <c r="Z91" s="1170">
        <f>((SUM(Z90:$AE90))*($L90+$M90))</f>
        <v>42686.729999999996</v>
      </c>
      <c r="AA91" s="1170">
        <f>((SUM(AA90:$AE90))*($L90+$M90))</f>
        <v>40889.394</v>
      </c>
      <c r="AB91" s="1170">
        <f>((SUM(AB90:$AE90))*($L90+$M90))</f>
        <v>39092.057999999997</v>
      </c>
      <c r="AC91" s="1170">
        <f>((SUM(AC90:$AE90))*($L90+$M90))</f>
        <v>37294.722000000002</v>
      </c>
      <c r="AD91" s="1170">
        <f>((SUM(AD90:$AE90))*($L90+$M90))</f>
        <v>35497.385999999999</v>
      </c>
      <c r="AE91" s="1170">
        <f>((SUM(AE90:$AE90))*($L90+$M90))*18</f>
        <v>606600.9</v>
      </c>
      <c r="AF91" s="1275">
        <f t="shared" si="2"/>
        <v>892826.65800000005</v>
      </c>
      <c r="AG91" s="83"/>
      <c r="AH91" s="83"/>
    </row>
    <row r="92" spans="1:34" s="42" customFormat="1" ht="13.2" customHeight="1" x14ac:dyDescent="0.2">
      <c r="A92" s="1168">
        <v>34</v>
      </c>
      <c r="B92" s="1535" t="s">
        <v>424</v>
      </c>
      <c r="C92" s="1529" t="s">
        <v>478</v>
      </c>
      <c r="D92" s="1529" t="s">
        <v>477</v>
      </c>
      <c r="E92" s="260"/>
      <c r="F92" s="1527" t="s">
        <v>425</v>
      </c>
      <c r="G92" s="1529" t="s">
        <v>528</v>
      </c>
      <c r="H92" s="182"/>
      <c r="I92" s="1531">
        <v>190128</v>
      </c>
      <c r="J92" s="182"/>
      <c r="K92" s="23"/>
      <c r="L92" s="58">
        <f>$L$7</f>
        <v>1.6580000000000001E-2</v>
      </c>
      <c r="M92" s="39">
        <f>$M$7</f>
        <v>2.5000000000000001E-3</v>
      </c>
      <c r="N92" s="35"/>
      <c r="O92" s="59"/>
      <c r="P92" s="37"/>
      <c r="Q92" s="25"/>
      <c r="R92" s="390"/>
      <c r="S92" s="49" t="s">
        <v>126</v>
      </c>
      <c r="T92" s="57">
        <v>163346</v>
      </c>
      <c r="U92" s="57"/>
      <c r="V92" s="57">
        <v>9752</v>
      </c>
      <c r="W92" s="57">
        <v>9752</v>
      </c>
      <c r="X92" s="57">
        <v>9752</v>
      </c>
      <c r="Y92" s="57">
        <v>9752</v>
      </c>
      <c r="Z92" s="57">
        <v>9752</v>
      </c>
      <c r="AA92" s="57">
        <v>9752</v>
      </c>
      <c r="AB92" s="57">
        <v>9752</v>
      </c>
      <c r="AC92" s="57">
        <v>9752</v>
      </c>
      <c r="AD92" s="57">
        <v>9752</v>
      </c>
      <c r="AE92" s="57">
        <v>85330</v>
      </c>
      <c r="AF92" s="1274">
        <f t="shared" si="2"/>
        <v>153594</v>
      </c>
      <c r="AG92" s="83"/>
      <c r="AH92" s="83"/>
    </row>
    <row r="93" spans="1:34" s="42" customFormat="1" ht="15" thickBot="1" x14ac:dyDescent="0.35">
      <c r="A93" s="1169"/>
      <c r="B93" s="1540"/>
      <c r="C93" s="1534"/>
      <c r="D93" s="1534"/>
      <c r="E93" s="40"/>
      <c r="F93" s="1551"/>
      <c r="G93" s="1530"/>
      <c r="H93" s="180"/>
      <c r="I93" s="1555"/>
      <c r="J93" s="189"/>
      <c r="K93" s="61"/>
      <c r="L93" s="28"/>
      <c r="M93" s="28"/>
      <c r="N93" s="28"/>
      <c r="O93" s="31"/>
      <c r="P93" s="29"/>
      <c r="Q93" s="32"/>
      <c r="R93" s="392"/>
      <c r="S93" s="33" t="s">
        <v>2</v>
      </c>
      <c r="T93" s="34"/>
      <c r="U93" s="34"/>
      <c r="V93" s="1170">
        <v>400</v>
      </c>
      <c r="W93" s="1170">
        <v>411.63192000000004</v>
      </c>
      <c r="X93" s="1170">
        <f>((SUM(X92:$AE92))*($L92+$M92))</f>
        <v>2930.5735199999999</v>
      </c>
      <c r="Y93" s="1170">
        <f>((SUM(Y92:$AE92))*($L92+$M92))</f>
        <v>2744.5053600000001</v>
      </c>
      <c r="Z93" s="1170">
        <f>((SUM(Z92:$AE92))*($L92+$M92))</f>
        <v>2558.4371999999998</v>
      </c>
      <c r="AA93" s="1170">
        <f>((SUM(AA92:$AE92))*($L92+$M92))</f>
        <v>2372.36904</v>
      </c>
      <c r="AB93" s="1170">
        <f>((SUM(AB92:$AE92))*($L92+$M92))</f>
        <v>2186.3008799999998</v>
      </c>
      <c r="AC93" s="1170">
        <f>((SUM(AC92:$AE92))*($L92+$M92))</f>
        <v>2000.23272</v>
      </c>
      <c r="AD93" s="1170">
        <f>((SUM(AD92:$AE92))*($L92+$M92))</f>
        <v>1814.1645599999999</v>
      </c>
      <c r="AE93" s="1170">
        <f>((SUM(AE92:$AE92))*($L92+$M92))*8.8</f>
        <v>14327.248320000001</v>
      </c>
      <c r="AF93" s="1275">
        <f t="shared" si="2"/>
        <v>30933.831599999998</v>
      </c>
      <c r="AG93" s="83"/>
      <c r="AH93" s="83"/>
    </row>
    <row r="94" spans="1:34" s="42" customFormat="1" ht="13.2" customHeight="1" x14ac:dyDescent="0.2">
      <c r="A94" s="1168">
        <v>35</v>
      </c>
      <c r="B94" s="1535" t="s">
        <v>426</v>
      </c>
      <c r="C94" s="1541" t="s">
        <v>480</v>
      </c>
      <c r="D94" s="1541" t="s">
        <v>479</v>
      </c>
      <c r="E94" s="260"/>
      <c r="F94" s="1543" t="s">
        <v>302</v>
      </c>
      <c r="G94" s="1529" t="s">
        <v>528</v>
      </c>
      <c r="H94" s="182"/>
      <c r="I94" s="1531">
        <v>177076.43</v>
      </c>
      <c r="J94" s="182"/>
      <c r="K94" s="23"/>
      <c r="L94" s="58">
        <f>$L$7</f>
        <v>1.6580000000000001E-2</v>
      </c>
      <c r="M94" s="39">
        <f>$M$7</f>
        <v>2.5000000000000001E-3</v>
      </c>
      <c r="N94" s="35"/>
      <c r="O94" s="59"/>
      <c r="P94" s="37"/>
      <c r="Q94" s="25"/>
      <c r="R94" s="390"/>
      <c r="S94" s="49" t="s">
        <v>126</v>
      </c>
      <c r="T94" s="57">
        <v>154100</v>
      </c>
      <c r="U94" s="57"/>
      <c r="V94" s="57">
        <v>9200</v>
      </c>
      <c r="W94" s="57">
        <v>9200</v>
      </c>
      <c r="X94" s="57">
        <v>9200</v>
      </c>
      <c r="Y94" s="57">
        <v>9200</v>
      </c>
      <c r="Z94" s="57">
        <v>9200</v>
      </c>
      <c r="AA94" s="57">
        <v>9200</v>
      </c>
      <c r="AB94" s="57">
        <v>9200</v>
      </c>
      <c r="AC94" s="57">
        <v>9200</v>
      </c>
      <c r="AD94" s="57">
        <v>9200</v>
      </c>
      <c r="AE94" s="57">
        <v>80500</v>
      </c>
      <c r="AF94" s="1274">
        <f t="shared" si="2"/>
        <v>144900</v>
      </c>
      <c r="AG94" s="83"/>
      <c r="AH94" s="83"/>
    </row>
    <row r="95" spans="1:34" s="42" customFormat="1" ht="15" thickBot="1" x14ac:dyDescent="0.35">
      <c r="A95" s="1169"/>
      <c r="B95" s="1536"/>
      <c r="C95" s="1542"/>
      <c r="D95" s="1542"/>
      <c r="E95" s="40"/>
      <c r="F95" s="1550"/>
      <c r="G95" s="1530"/>
      <c r="H95" s="180"/>
      <c r="I95" s="1555"/>
      <c r="J95" s="189"/>
      <c r="K95" s="61"/>
      <c r="L95" s="28"/>
      <c r="M95" s="28"/>
      <c r="N95" s="28"/>
      <c r="O95" s="31"/>
      <c r="P95" s="29"/>
      <c r="Q95" s="32"/>
      <c r="R95" s="392"/>
      <c r="S95" s="33" t="s">
        <v>2</v>
      </c>
      <c r="T95" s="34"/>
      <c r="U95" s="34"/>
      <c r="V95" s="1170">
        <v>400</v>
      </c>
      <c r="W95" s="1170">
        <v>385.25</v>
      </c>
      <c r="X95" s="1170">
        <f>((SUM(X94:$AE94))*($L94+$M94))</f>
        <v>2764.692</v>
      </c>
      <c r="Y95" s="1170">
        <f>((SUM(Y94:$AE94))*($L94+$M94))</f>
        <v>2589.1559999999999</v>
      </c>
      <c r="Z95" s="1170">
        <f>((SUM(Z94:$AE94))*($L94+$M94))</f>
        <v>2413.62</v>
      </c>
      <c r="AA95" s="1170">
        <f>((SUM(AA94:$AE94))*($L94+$M94))</f>
        <v>2238.0839999999998</v>
      </c>
      <c r="AB95" s="1170">
        <f>((SUM(AB94:$AE94))*($L94+$M94))</f>
        <v>2062.5479999999998</v>
      </c>
      <c r="AC95" s="1170">
        <f>((SUM(AC94:$AE94))*($L94+$M94))</f>
        <v>1887.0119999999999</v>
      </c>
      <c r="AD95" s="1170">
        <f>((SUM(AD94:$AE94))*($L94+$M94))</f>
        <v>1711.4759999999999</v>
      </c>
      <c r="AE95" s="1170">
        <f>((SUM(AE94:$AE94))*($L94+$M94))*8.8</f>
        <v>13516.272000000001</v>
      </c>
      <c r="AF95" s="1275">
        <f t="shared" si="2"/>
        <v>29182.86</v>
      </c>
      <c r="AG95" s="83"/>
      <c r="AH95" s="83"/>
    </row>
    <row r="96" spans="1:34" s="42" customFormat="1" ht="13.2" customHeight="1" x14ac:dyDescent="0.2">
      <c r="A96" s="1168">
        <v>36</v>
      </c>
      <c r="B96" s="1535" t="s">
        <v>427</v>
      </c>
      <c r="C96" s="1541" t="s">
        <v>482</v>
      </c>
      <c r="D96" s="1541" t="s">
        <v>481</v>
      </c>
      <c r="E96" s="260"/>
      <c r="F96" s="1543" t="s">
        <v>428</v>
      </c>
      <c r="G96" s="1529" t="s">
        <v>529</v>
      </c>
      <c r="H96" s="182"/>
      <c r="I96" s="1531">
        <v>160577.24</v>
      </c>
      <c r="J96" s="182"/>
      <c r="K96" s="23"/>
      <c r="L96" s="58">
        <f>$L$7</f>
        <v>1.6580000000000001E-2</v>
      </c>
      <c r="M96" s="39">
        <f>$M$7</f>
        <v>2.5000000000000001E-3</v>
      </c>
      <c r="N96" s="35"/>
      <c r="O96" s="59"/>
      <c r="P96" s="37"/>
      <c r="Q96" s="25"/>
      <c r="R96" s="390"/>
      <c r="S96" s="49" t="s">
        <v>126</v>
      </c>
      <c r="T96" s="57">
        <v>140012</v>
      </c>
      <c r="U96" s="57"/>
      <c r="V96" s="57">
        <v>8236</v>
      </c>
      <c r="W96" s="57">
        <v>8236</v>
      </c>
      <c r="X96" s="57">
        <v>8236</v>
      </c>
      <c r="Y96" s="57">
        <v>8236</v>
      </c>
      <c r="Z96" s="57">
        <v>8236</v>
      </c>
      <c r="AA96" s="57">
        <v>8236</v>
      </c>
      <c r="AB96" s="57">
        <v>8236</v>
      </c>
      <c r="AC96" s="57">
        <v>8236</v>
      </c>
      <c r="AD96" s="57">
        <v>8236</v>
      </c>
      <c r="AE96" s="57">
        <v>74124</v>
      </c>
      <c r="AF96" s="1274">
        <f t="shared" si="2"/>
        <v>131776</v>
      </c>
      <c r="AG96" s="83"/>
      <c r="AH96" s="83"/>
    </row>
    <row r="97" spans="1:34" s="42" customFormat="1" ht="15" thickBot="1" x14ac:dyDescent="0.35">
      <c r="A97" s="1169"/>
      <c r="B97" s="1536"/>
      <c r="C97" s="1542"/>
      <c r="D97" s="1542"/>
      <c r="E97" s="40"/>
      <c r="F97" s="1553"/>
      <c r="G97" s="1530"/>
      <c r="H97" s="180"/>
      <c r="I97" s="1555"/>
      <c r="J97" s="189"/>
      <c r="K97" s="61"/>
      <c r="L97" s="28"/>
      <c r="M97" s="28"/>
      <c r="N97" s="28"/>
      <c r="O97" s="31"/>
      <c r="P97" s="29"/>
      <c r="Q97" s="32"/>
      <c r="R97" s="392"/>
      <c r="S97" s="33" t="s">
        <v>2</v>
      </c>
      <c r="T97" s="34"/>
      <c r="U97" s="34"/>
      <c r="V97" s="1170">
        <v>250</v>
      </c>
      <c r="W97" s="1170">
        <v>350.03000000000003</v>
      </c>
      <c r="X97" s="1170">
        <f>((SUM(X96:$AE96))*($L96+$M96))</f>
        <v>2514.2860799999999</v>
      </c>
      <c r="Y97" s="1170">
        <f>((SUM(Y96:$AE96))*($L96+$M96))</f>
        <v>2357.1432</v>
      </c>
      <c r="Z97" s="1170">
        <f>((SUM(Z96:$AE96))*($L96+$M96))</f>
        <v>2200.0003200000001</v>
      </c>
      <c r="AA97" s="1170">
        <f>((SUM(AA96:$AE96))*($L96+$M96))</f>
        <v>2042.85744</v>
      </c>
      <c r="AB97" s="1170">
        <f>((SUM(AB96:$AE96))*($L96+$M96))</f>
        <v>1885.7145599999999</v>
      </c>
      <c r="AC97" s="1170">
        <f>((SUM(AC96:$AE96))*($L96+$M96))</f>
        <v>1728.57168</v>
      </c>
      <c r="AD97" s="1170">
        <f>((SUM(AD96:$AE96))*($L96+$M96))</f>
        <v>1571.4287999999999</v>
      </c>
      <c r="AE97" s="1170">
        <f>((SUM(AE96:$AE96))*($L96+$M96))*8.8</f>
        <v>12445.716096000002</v>
      </c>
      <c r="AF97" s="1275">
        <f t="shared" si="2"/>
        <v>26745.718176000002</v>
      </c>
      <c r="AG97" s="83"/>
      <c r="AH97" s="83"/>
    </row>
    <row r="98" spans="1:34" s="42" customFormat="1" ht="13.2" customHeight="1" x14ac:dyDescent="0.2">
      <c r="A98" s="1168">
        <v>37</v>
      </c>
      <c r="B98" s="1523" t="s">
        <v>429</v>
      </c>
      <c r="C98" s="1525" t="s">
        <v>484</v>
      </c>
      <c r="D98" s="1525" t="s">
        <v>483</v>
      </c>
      <c r="E98" s="260"/>
      <c r="F98" s="1543" t="s">
        <v>430</v>
      </c>
      <c r="G98" s="1529" t="s">
        <v>530</v>
      </c>
      <c r="H98" s="182"/>
      <c r="I98" s="1556">
        <v>131127</v>
      </c>
      <c r="J98" s="182"/>
      <c r="K98" s="23"/>
      <c r="L98" s="58">
        <f>$L$7</f>
        <v>1.6580000000000001E-2</v>
      </c>
      <c r="M98" s="39">
        <f>$M$7</f>
        <v>2.5000000000000001E-3</v>
      </c>
      <c r="N98" s="35"/>
      <c r="O98" s="59"/>
      <c r="P98" s="37"/>
      <c r="Q98" s="25"/>
      <c r="R98" s="390"/>
      <c r="S98" s="49" t="s">
        <v>126</v>
      </c>
      <c r="T98" s="57">
        <v>114376</v>
      </c>
      <c r="U98" s="57"/>
      <c r="V98" s="57">
        <v>6728</v>
      </c>
      <c r="W98" s="57">
        <v>6728</v>
      </c>
      <c r="X98" s="57">
        <v>6728</v>
      </c>
      <c r="Y98" s="57">
        <v>6728</v>
      </c>
      <c r="Z98" s="57">
        <v>6728</v>
      </c>
      <c r="AA98" s="57">
        <v>6728</v>
      </c>
      <c r="AB98" s="57">
        <v>6728</v>
      </c>
      <c r="AC98" s="57">
        <v>6728</v>
      </c>
      <c r="AD98" s="57">
        <v>6728</v>
      </c>
      <c r="AE98" s="57">
        <v>60552</v>
      </c>
      <c r="AF98" s="1274">
        <f t="shared" si="2"/>
        <v>107648</v>
      </c>
      <c r="AG98" s="83"/>
      <c r="AH98" s="83"/>
    </row>
    <row r="99" spans="1:34" s="42" customFormat="1" ht="15" thickBot="1" x14ac:dyDescent="0.35">
      <c r="A99" s="1169"/>
      <c r="B99" s="1537"/>
      <c r="C99" s="1554"/>
      <c r="D99" s="1554"/>
      <c r="E99" s="40"/>
      <c r="F99" s="1553"/>
      <c r="G99" s="1530"/>
      <c r="H99" s="180"/>
      <c r="I99" s="1559"/>
      <c r="J99" s="189"/>
      <c r="K99" s="61"/>
      <c r="L99" s="28"/>
      <c r="M99" s="28"/>
      <c r="N99" s="28"/>
      <c r="O99" s="31"/>
      <c r="P99" s="29"/>
      <c r="Q99" s="32"/>
      <c r="R99" s="392"/>
      <c r="S99" s="33" t="s">
        <v>2</v>
      </c>
      <c r="T99" s="34"/>
      <c r="U99" s="34"/>
      <c r="V99" s="1170">
        <v>360</v>
      </c>
      <c r="W99" s="1170">
        <v>285.94</v>
      </c>
      <c r="X99" s="1170">
        <f>((SUM(X98:$AE98))*($L98+$M98))</f>
        <v>2053.9238399999999</v>
      </c>
      <c r="Y99" s="1170">
        <f>((SUM(Y98:$AE98))*($L98+$M98))</f>
        <v>1925.5536</v>
      </c>
      <c r="Z99" s="1170">
        <f>((SUM(Z98:$AE98))*($L98+$M98))</f>
        <v>1797.18336</v>
      </c>
      <c r="AA99" s="1170">
        <f>((SUM(AA98:$AE98))*($L98+$M98))</f>
        <v>1668.81312</v>
      </c>
      <c r="AB99" s="1170">
        <f>((SUM(AB98:$AE98))*($L98+$M98))</f>
        <v>1540.4428800000001</v>
      </c>
      <c r="AC99" s="1170">
        <f>((SUM(AC98:$AE98))*($L98+$M98))</f>
        <v>1412.0726400000001</v>
      </c>
      <c r="AD99" s="1170">
        <f>((SUM(AD98:$AE98))*($L98+$M98))</f>
        <v>1283.7023999999999</v>
      </c>
      <c r="AE99" s="1170">
        <f>((SUM(AE98:$AE98))*($L98+$M98))*9</f>
        <v>10397.989439999999</v>
      </c>
      <c r="AF99" s="1275">
        <f t="shared" si="2"/>
        <v>22079.681279999997</v>
      </c>
      <c r="AG99" s="83"/>
      <c r="AH99" s="83"/>
    </row>
    <row r="100" spans="1:34" s="42" customFormat="1" ht="13.2" customHeight="1" x14ac:dyDescent="0.2">
      <c r="A100" s="1168">
        <v>38</v>
      </c>
      <c r="B100" s="1523" t="s">
        <v>431</v>
      </c>
      <c r="C100" s="1525" t="s">
        <v>509</v>
      </c>
      <c r="D100" s="1525" t="s">
        <v>508</v>
      </c>
      <c r="E100" s="260"/>
      <c r="F100" s="1543" t="s">
        <v>432</v>
      </c>
      <c r="G100" s="1529" t="s">
        <v>531</v>
      </c>
      <c r="H100" s="182"/>
      <c r="I100" s="1556">
        <v>17365.23</v>
      </c>
      <c r="J100" s="182"/>
      <c r="K100" s="23"/>
      <c r="L100" s="58">
        <f>$L$7</f>
        <v>1.6580000000000001E-2</v>
      </c>
      <c r="M100" s="39">
        <f>$M$7</f>
        <v>2.5000000000000001E-3</v>
      </c>
      <c r="N100" s="35"/>
      <c r="O100" s="59"/>
      <c r="P100" s="37"/>
      <c r="Q100" s="25"/>
      <c r="R100" s="390"/>
      <c r="S100" s="49" t="s">
        <v>126</v>
      </c>
      <c r="T100" s="57">
        <v>14007</v>
      </c>
      <c r="U100" s="57"/>
      <c r="V100" s="57">
        <v>1932</v>
      </c>
      <c r="W100" s="57">
        <v>1932</v>
      </c>
      <c r="X100" s="57">
        <v>1932</v>
      </c>
      <c r="Y100" s="57">
        <v>1932</v>
      </c>
      <c r="Z100" s="57">
        <v>1932</v>
      </c>
      <c r="AA100" s="57">
        <v>1932</v>
      </c>
      <c r="AB100" s="57">
        <v>1932</v>
      </c>
      <c r="AC100" s="57">
        <v>1932</v>
      </c>
      <c r="AD100" s="57">
        <v>483</v>
      </c>
      <c r="AE100" s="184">
        <v>0</v>
      </c>
      <c r="AF100" s="1274">
        <f t="shared" si="2"/>
        <v>12075</v>
      </c>
      <c r="AG100" s="83"/>
      <c r="AH100" s="83"/>
    </row>
    <row r="101" spans="1:34" s="42" customFormat="1" ht="15" thickBot="1" x14ac:dyDescent="0.35">
      <c r="A101" s="1169"/>
      <c r="B101" s="1537"/>
      <c r="C101" s="1554"/>
      <c r="D101" s="1554"/>
      <c r="E101" s="40"/>
      <c r="F101" s="1553"/>
      <c r="G101" s="1530"/>
      <c r="H101" s="180"/>
      <c r="I101" s="1559"/>
      <c r="J101" s="189"/>
      <c r="K101" s="61"/>
      <c r="L101" s="28"/>
      <c r="M101" s="28"/>
      <c r="N101" s="28"/>
      <c r="O101" s="31"/>
      <c r="P101" s="29"/>
      <c r="Q101" s="32"/>
      <c r="R101" s="392"/>
      <c r="S101" s="33" t="s">
        <v>2</v>
      </c>
      <c r="T101" s="34"/>
      <c r="U101" s="34"/>
      <c r="V101" s="1170">
        <v>360</v>
      </c>
      <c r="W101" s="1170">
        <v>35.017499999999998</v>
      </c>
      <c r="X101" s="1170">
        <f>((SUM(X100:$AE100))*($L100+$M100))</f>
        <v>230.39099999999999</v>
      </c>
      <c r="Y101" s="1170">
        <f>((SUM(Y100:$AE100))*($L100+$M100))</f>
        <v>193.52843999999999</v>
      </c>
      <c r="Z101" s="1170">
        <f>((SUM(Z100:$AE100))*($L100+$M100))</f>
        <v>156.66587999999999</v>
      </c>
      <c r="AA101" s="1170">
        <f>((SUM(AA100:$AE100))*($L100+$M100))</f>
        <v>119.80332</v>
      </c>
      <c r="AB101" s="1170">
        <f>((SUM(AB100:$AE100))*($L100+$M100))</f>
        <v>82.940759999999997</v>
      </c>
      <c r="AC101" s="1170">
        <f>((SUM(AC100:$AE100))*($L100+$M100))</f>
        <v>46.078200000000002</v>
      </c>
      <c r="AD101" s="1170">
        <f>((SUM(AD100:$AE100))*($L100+$M100))</f>
        <v>9.2156400000000005</v>
      </c>
      <c r="AE101" s="1171">
        <f>((SUM(AE100:$AE100))*($L100+$M100))</f>
        <v>0</v>
      </c>
      <c r="AF101" s="1275">
        <f t="shared" si="2"/>
        <v>838.62324000000001</v>
      </c>
      <c r="AG101" s="83"/>
      <c r="AH101" s="83"/>
    </row>
    <row r="102" spans="1:34" s="42" customFormat="1" ht="13.2" customHeight="1" x14ac:dyDescent="0.2">
      <c r="A102" s="1168">
        <v>39</v>
      </c>
      <c r="B102" s="1523" t="s">
        <v>433</v>
      </c>
      <c r="C102" s="1525" t="s">
        <v>507</v>
      </c>
      <c r="D102" s="1525" t="s">
        <v>506</v>
      </c>
      <c r="E102" s="260"/>
      <c r="F102" s="1543" t="s">
        <v>434</v>
      </c>
      <c r="G102" s="1529" t="s">
        <v>532</v>
      </c>
      <c r="H102" s="182"/>
      <c r="I102" s="1556">
        <v>2227434</v>
      </c>
      <c r="J102" s="182"/>
      <c r="K102" s="23"/>
      <c r="L102" s="58">
        <f>$L$7</f>
        <v>1.6580000000000001E-2</v>
      </c>
      <c r="M102" s="39">
        <f>$M$7</f>
        <v>2.5000000000000001E-3</v>
      </c>
      <c r="N102" s="35"/>
      <c r="O102" s="59"/>
      <c r="P102" s="37"/>
      <c r="Q102" s="25"/>
      <c r="R102" s="390"/>
      <c r="S102" s="49" t="s">
        <v>126</v>
      </c>
      <c r="T102" s="57">
        <v>2149290</v>
      </c>
      <c r="U102" s="57"/>
      <c r="V102" s="57">
        <v>78144</v>
      </c>
      <c r="W102" s="57">
        <v>78156</v>
      </c>
      <c r="X102" s="57">
        <v>78156</v>
      </c>
      <c r="Y102" s="57">
        <v>78156</v>
      </c>
      <c r="Z102" s="57">
        <v>78156</v>
      </c>
      <c r="AA102" s="57">
        <v>78156</v>
      </c>
      <c r="AB102" s="57">
        <v>78156</v>
      </c>
      <c r="AC102" s="57">
        <v>78156</v>
      </c>
      <c r="AD102" s="57">
        <v>78156</v>
      </c>
      <c r="AE102" s="57">
        <v>1524042</v>
      </c>
      <c r="AF102" s="1274">
        <f t="shared" si="2"/>
        <v>2071134</v>
      </c>
      <c r="AG102" s="83"/>
      <c r="AH102" s="83"/>
    </row>
    <row r="103" spans="1:34" s="42" customFormat="1" ht="15" thickBot="1" x14ac:dyDescent="0.35">
      <c r="A103" s="1169"/>
      <c r="B103" s="1537"/>
      <c r="C103" s="1554"/>
      <c r="D103" s="1554"/>
      <c r="E103" s="40"/>
      <c r="F103" s="1553"/>
      <c r="G103" s="1530"/>
      <c r="H103" s="180"/>
      <c r="I103" s="1559"/>
      <c r="J103" s="189"/>
      <c r="K103" s="61"/>
      <c r="L103" s="28"/>
      <c r="M103" s="28"/>
      <c r="N103" s="28"/>
      <c r="O103" s="31"/>
      <c r="P103" s="29"/>
      <c r="Q103" s="32"/>
      <c r="R103" s="392"/>
      <c r="S103" s="33" t="s">
        <v>2</v>
      </c>
      <c r="T103" s="34"/>
      <c r="U103" s="34"/>
      <c r="V103" s="1170">
        <v>4828.2325000000001</v>
      </c>
      <c r="W103" s="1170">
        <v>5373.2250000000004</v>
      </c>
      <c r="X103" s="1170">
        <f>((SUM(X102:$AE102))*($L102+$M102))</f>
        <v>39517.236720000001</v>
      </c>
      <c r="Y103" s="1170">
        <f>((SUM(Y102:$AE102))*($L102+$M102))</f>
        <v>38026.020239999998</v>
      </c>
      <c r="Z103" s="1170">
        <f>((SUM(Z102:$AE102))*($L102+$M102))</f>
        <v>36534.803760000003</v>
      </c>
      <c r="AA103" s="1170">
        <f>((SUM(AA102:$AE102))*($L102+$M102))</f>
        <v>35043.58728</v>
      </c>
      <c r="AB103" s="1170">
        <f>((SUM(AB102:$AE102))*($L102+$M102))</f>
        <v>33552.370799999997</v>
      </c>
      <c r="AC103" s="1170">
        <f>((SUM(AC102:$AE102))*($L102+$M102))</f>
        <v>32061.154319999998</v>
      </c>
      <c r="AD103" s="1170">
        <f>((SUM(AD102:$AE102))*($L102+$M102))</f>
        <v>30569.937839999999</v>
      </c>
      <c r="AE103" s="1170">
        <f>((SUM(AE102:$AE102))*($L102+$M102))*19</f>
        <v>552495.70583999995</v>
      </c>
      <c r="AF103" s="1275">
        <f t="shared" si="2"/>
        <v>797800.81679999991</v>
      </c>
      <c r="AG103" s="83"/>
      <c r="AH103" s="83"/>
    </row>
    <row r="104" spans="1:34" s="42" customFormat="1" ht="13.2" customHeight="1" x14ac:dyDescent="0.2">
      <c r="A104" s="1168">
        <v>40</v>
      </c>
      <c r="B104" s="1535" t="s">
        <v>435</v>
      </c>
      <c r="C104" s="1541" t="s">
        <v>505</v>
      </c>
      <c r="D104" s="1541" t="s">
        <v>504</v>
      </c>
      <c r="E104" s="260"/>
      <c r="F104" s="1543" t="s">
        <v>436</v>
      </c>
      <c r="G104" s="1529" t="s">
        <v>533</v>
      </c>
      <c r="H104" s="182"/>
      <c r="I104" s="1531">
        <v>605017</v>
      </c>
      <c r="J104" s="182"/>
      <c r="K104" s="23"/>
      <c r="L104" s="58">
        <f>$L$7</f>
        <v>1.6580000000000001E-2</v>
      </c>
      <c r="M104" s="39">
        <f>$M$7</f>
        <v>2.5000000000000001E-3</v>
      </c>
      <c r="N104" s="35"/>
      <c r="O104" s="59"/>
      <c r="P104" s="37"/>
      <c r="Q104" s="25"/>
      <c r="R104" s="390"/>
      <c r="S104" s="49" t="s">
        <v>126</v>
      </c>
      <c r="T104" s="57">
        <v>568224</v>
      </c>
      <c r="U104" s="57"/>
      <c r="V104" s="57">
        <v>15714.46</v>
      </c>
      <c r="W104" s="57">
        <v>31568</v>
      </c>
      <c r="X104" s="57">
        <v>31568</v>
      </c>
      <c r="Y104" s="57">
        <v>31568</v>
      </c>
      <c r="Z104" s="57">
        <v>31568</v>
      </c>
      <c r="AA104" s="57">
        <v>31568</v>
      </c>
      <c r="AB104" s="57">
        <v>31568</v>
      </c>
      <c r="AC104" s="57">
        <v>31568</v>
      </c>
      <c r="AD104" s="57">
        <v>31568</v>
      </c>
      <c r="AE104" s="57">
        <v>315680</v>
      </c>
      <c r="AF104" s="1274">
        <f t="shared" si="2"/>
        <v>536656</v>
      </c>
      <c r="AG104" s="83"/>
      <c r="AH104" s="83"/>
    </row>
    <row r="105" spans="1:34" s="42" customFormat="1" ht="15" thickBot="1" x14ac:dyDescent="0.35">
      <c r="A105" s="1169"/>
      <c r="B105" s="1536"/>
      <c r="C105" s="1542"/>
      <c r="D105" s="1542"/>
      <c r="E105" s="40"/>
      <c r="F105" s="1553"/>
      <c r="G105" s="1530"/>
      <c r="H105" s="180"/>
      <c r="I105" s="1555"/>
      <c r="J105" s="189"/>
      <c r="K105" s="61"/>
      <c r="L105" s="28"/>
      <c r="M105" s="28"/>
      <c r="N105" s="28"/>
      <c r="O105" s="31"/>
      <c r="P105" s="29"/>
      <c r="Q105" s="32"/>
      <c r="R105" s="392"/>
      <c r="S105" s="33" t="s">
        <v>2</v>
      </c>
      <c r="T105" s="34"/>
      <c r="U105" s="34"/>
      <c r="V105" s="1170">
        <v>1492.5425</v>
      </c>
      <c r="W105" s="1170">
        <v>1431.9244800000001</v>
      </c>
      <c r="X105" s="1170">
        <f>((SUM(X104:$AE104))*($L104+$M104))</f>
        <v>10239.396479999999</v>
      </c>
      <c r="Y105" s="1170">
        <f>((SUM(Y104:$AE104))*($L104+$M104))</f>
        <v>9637.0790400000005</v>
      </c>
      <c r="Z105" s="1170">
        <f>((SUM(Z104:$AE104))*($L104+$M104))</f>
        <v>9034.7615999999998</v>
      </c>
      <c r="AA105" s="1170">
        <f>((SUM(AA104:$AE104))*($L104+$M104))</f>
        <v>8432.4441599999991</v>
      </c>
      <c r="AB105" s="1170">
        <f>((SUM(AB104:$AE104))*($L104+$M104))</f>
        <v>7830.1267200000002</v>
      </c>
      <c r="AC105" s="1170">
        <f>((SUM(AC104:$AE104))*($L104+$M104))</f>
        <v>7227.8092799999995</v>
      </c>
      <c r="AD105" s="1170">
        <f>((SUM(AD104:$AE104))*($L104+$M104))</f>
        <v>6625.4918399999997</v>
      </c>
      <c r="AE105" s="1170">
        <f>((SUM(AE104:$AE104))*($L104+$M104))*9</f>
        <v>54208.569600000003</v>
      </c>
      <c r="AF105" s="1275">
        <f t="shared" si="2"/>
        <v>113235.67872</v>
      </c>
      <c r="AG105" s="83"/>
      <c r="AH105" s="83"/>
    </row>
    <row r="106" spans="1:34" s="42" customFormat="1" ht="13.2" customHeight="1" outlineLevel="1" x14ac:dyDescent="0.2">
      <c r="A106" s="1168">
        <v>41</v>
      </c>
      <c r="B106" s="1535" t="s">
        <v>385</v>
      </c>
      <c r="C106" s="1529" t="s">
        <v>503</v>
      </c>
      <c r="D106" s="1529" t="s">
        <v>502</v>
      </c>
      <c r="E106" s="260"/>
      <c r="F106" s="1543" t="s">
        <v>437</v>
      </c>
      <c r="G106" s="1529" t="s">
        <v>337</v>
      </c>
      <c r="H106" s="182"/>
      <c r="I106" s="1556">
        <v>33731</v>
      </c>
      <c r="J106" s="182"/>
      <c r="K106" s="23"/>
      <c r="L106" s="58">
        <f>$L$7</f>
        <v>1.6580000000000001E-2</v>
      </c>
      <c r="M106" s="39">
        <f>$M$7</f>
        <v>2.5000000000000001E-3</v>
      </c>
      <c r="N106" s="35"/>
      <c r="O106" s="59"/>
      <c r="P106" s="37"/>
      <c r="Q106" s="25"/>
      <c r="R106" s="390"/>
      <c r="S106" s="49" t="s">
        <v>126</v>
      </c>
      <c r="T106" s="57">
        <v>31920</v>
      </c>
      <c r="U106" s="57"/>
      <c r="V106" s="57">
        <v>1811.17</v>
      </c>
      <c r="W106" s="57">
        <v>3648</v>
      </c>
      <c r="X106" s="57">
        <v>3648</v>
      </c>
      <c r="Y106" s="57">
        <v>3648</v>
      </c>
      <c r="Z106" s="57">
        <v>3648</v>
      </c>
      <c r="AA106" s="57">
        <v>3648</v>
      </c>
      <c r="AB106" s="57">
        <v>3648</v>
      </c>
      <c r="AC106" s="57">
        <v>3648</v>
      </c>
      <c r="AD106" s="57">
        <v>3648</v>
      </c>
      <c r="AE106" s="57">
        <v>2736</v>
      </c>
      <c r="AF106" s="1274">
        <f t="shared" si="2"/>
        <v>28272</v>
      </c>
      <c r="AG106" s="83"/>
      <c r="AH106" s="83"/>
    </row>
    <row r="107" spans="1:34" s="42" customFormat="1" ht="15" outlineLevel="1" thickBot="1" x14ac:dyDescent="0.35">
      <c r="A107" s="1169"/>
      <c r="B107" s="1540"/>
      <c r="C107" s="1534"/>
      <c r="D107" s="1534"/>
      <c r="E107" s="40"/>
      <c r="F107" s="1544"/>
      <c r="G107" s="1530"/>
      <c r="H107" s="180"/>
      <c r="I107" s="1555"/>
      <c r="J107" s="189"/>
      <c r="K107" s="61"/>
      <c r="L107" s="28"/>
      <c r="M107" s="28"/>
      <c r="N107" s="28"/>
      <c r="O107" s="31"/>
      <c r="P107" s="29"/>
      <c r="Q107" s="32"/>
      <c r="R107" s="392"/>
      <c r="S107" s="33" t="s">
        <v>2</v>
      </c>
      <c r="T107" s="34"/>
      <c r="U107" s="34"/>
      <c r="V107" s="1170">
        <v>110</v>
      </c>
      <c r="W107" s="1170"/>
      <c r="X107" s="1170">
        <f>((SUM(X106:$AE106))*($L106+$M106))</f>
        <v>539.42975999999999</v>
      </c>
      <c r="Y107" s="1170">
        <f>((SUM(Y106:$AE106))*($L106+$M106))</f>
        <v>469.82592</v>
      </c>
      <c r="Z107" s="1170">
        <f>((SUM(Z106:$AE106))*($L106+$M106))</f>
        <v>400.22208000000001</v>
      </c>
      <c r="AA107" s="1170">
        <f>((SUM(AA106:$AE106))*($L106+$M106))</f>
        <v>330.61824000000001</v>
      </c>
      <c r="AB107" s="1170">
        <f>((SUM(AB106:$AE106))*($L106+$M106))</f>
        <v>261.01440000000002</v>
      </c>
      <c r="AC107" s="1170">
        <f>((SUM(AC106:$AE106))*($L106+$M106))</f>
        <v>191.41056</v>
      </c>
      <c r="AD107" s="1170">
        <f>((SUM(AD106:$AE106))*($L106+$M106))</f>
        <v>121.80672</v>
      </c>
      <c r="AE107" s="1170">
        <f>((SUM(AE106:$AE106))*($L106+$M106))</f>
        <v>52.20288</v>
      </c>
      <c r="AF107" s="1275">
        <f t="shared" si="2"/>
        <v>2366.5305599999997</v>
      </c>
      <c r="AG107" s="83"/>
      <c r="AH107" s="83"/>
    </row>
    <row r="108" spans="1:34" s="42" customFormat="1" ht="13.2" customHeight="1" x14ac:dyDescent="0.2">
      <c r="A108" s="1168">
        <v>41</v>
      </c>
      <c r="B108" s="1535" t="s">
        <v>438</v>
      </c>
      <c r="C108" s="1529" t="s">
        <v>501</v>
      </c>
      <c r="D108" s="1529" t="s">
        <v>500</v>
      </c>
      <c r="E108" s="260"/>
      <c r="F108" s="1543" t="s">
        <v>439</v>
      </c>
      <c r="G108" s="1529" t="s">
        <v>518</v>
      </c>
      <c r="H108" s="182"/>
      <c r="I108" s="1556">
        <v>363119</v>
      </c>
      <c r="J108" s="182"/>
      <c r="K108" s="23"/>
      <c r="L108" s="58">
        <f>$L$7</f>
        <v>1.6580000000000001E-2</v>
      </c>
      <c r="M108" s="39">
        <f>$M$7</f>
        <v>2.5000000000000001E-3</v>
      </c>
      <c r="N108" s="35"/>
      <c r="O108" s="59"/>
      <c r="P108" s="37"/>
      <c r="Q108" s="25"/>
      <c r="R108" s="390"/>
      <c r="S108" s="49" t="s">
        <v>126</v>
      </c>
      <c r="T108" s="57">
        <v>352205</v>
      </c>
      <c r="U108" s="57"/>
      <c r="V108" s="184">
        <v>0</v>
      </c>
      <c r="W108" s="57">
        <v>18788</v>
      </c>
      <c r="X108" s="57">
        <v>18788</v>
      </c>
      <c r="Y108" s="57">
        <v>18788</v>
      </c>
      <c r="Z108" s="57">
        <v>18788</v>
      </c>
      <c r="AA108" s="57">
        <v>18788</v>
      </c>
      <c r="AB108" s="57">
        <v>18788</v>
      </c>
      <c r="AC108" s="57">
        <v>18788</v>
      </c>
      <c r="AD108" s="57">
        <v>18788</v>
      </c>
      <c r="AE108" s="57">
        <v>201901</v>
      </c>
      <c r="AF108" s="1274">
        <f t="shared" ref="AF108:AF139" si="3">SUM(X108:AE108)</f>
        <v>333417</v>
      </c>
      <c r="AG108" s="83"/>
      <c r="AH108" s="83"/>
    </row>
    <row r="109" spans="1:34" s="42" customFormat="1" ht="15" thickBot="1" x14ac:dyDescent="0.35">
      <c r="A109" s="1169"/>
      <c r="B109" s="1540"/>
      <c r="C109" s="1534"/>
      <c r="D109" s="1534"/>
      <c r="E109" s="40"/>
      <c r="F109" s="1544"/>
      <c r="G109" s="1530"/>
      <c r="H109" s="180"/>
      <c r="I109" s="1555"/>
      <c r="J109" s="189"/>
      <c r="K109" s="61"/>
      <c r="L109" s="28"/>
      <c r="M109" s="28"/>
      <c r="N109" s="28"/>
      <c r="O109" s="31"/>
      <c r="P109" s="29"/>
      <c r="Q109" s="32"/>
      <c r="R109" s="392"/>
      <c r="S109" s="33" t="s">
        <v>2</v>
      </c>
      <c r="T109" s="34"/>
      <c r="U109" s="34"/>
      <c r="V109" s="1170">
        <v>600</v>
      </c>
      <c r="W109" s="1170">
        <v>887.5566</v>
      </c>
      <c r="X109" s="1170">
        <f>((SUM(X108:$AE108))*($L108+$M108))</f>
        <v>6361.5963599999995</v>
      </c>
      <c r="Y109" s="1170">
        <f>((SUM(Y108:$AE108))*($L108+$M108))</f>
        <v>6003.1213200000002</v>
      </c>
      <c r="Z109" s="1170">
        <f>((SUM(Z108:$AE108))*($L108+$M108))</f>
        <v>5644.6462799999999</v>
      </c>
      <c r="AA109" s="1170">
        <f>((SUM(AA108:$AE108))*($L108+$M108))</f>
        <v>5286.1712399999997</v>
      </c>
      <c r="AB109" s="1170">
        <f>((SUM(AB108:$AE108))*($L108+$M108))</f>
        <v>4927.6962000000003</v>
      </c>
      <c r="AC109" s="1170">
        <f>((SUM(AC108:$AE108))*($L108+$M108))</f>
        <v>4569.2211600000001</v>
      </c>
      <c r="AD109" s="1170">
        <f>((SUM(AD108:$AE108))*($L108+$M108))</f>
        <v>4210.7461199999998</v>
      </c>
      <c r="AE109" s="1170">
        <f>((SUM(AE108:$AE108))*($L108+$M108))*10</f>
        <v>38522.710800000001</v>
      </c>
      <c r="AF109" s="1275">
        <f t="shared" si="3"/>
        <v>75525.909480000002</v>
      </c>
      <c r="AG109" s="83"/>
      <c r="AH109" s="83"/>
    </row>
    <row r="110" spans="1:34" s="42" customFormat="1" ht="13.2" customHeight="1" x14ac:dyDescent="0.2">
      <c r="A110" s="1168">
        <v>42</v>
      </c>
      <c r="B110" s="1535" t="s">
        <v>440</v>
      </c>
      <c r="C110" s="1529" t="s">
        <v>499</v>
      </c>
      <c r="D110" s="1529" t="s">
        <v>497</v>
      </c>
      <c r="E110" s="260"/>
      <c r="F110" s="1543" t="s">
        <v>439</v>
      </c>
      <c r="G110" s="1529" t="s">
        <v>534</v>
      </c>
      <c r="H110" s="182"/>
      <c r="I110" s="1556">
        <v>824810</v>
      </c>
      <c r="J110" s="182"/>
      <c r="K110" s="23"/>
      <c r="L110" s="58">
        <f>$L$7</f>
        <v>1.6580000000000001E-2</v>
      </c>
      <c r="M110" s="39">
        <f>$M$7</f>
        <v>2.5000000000000001E-3</v>
      </c>
      <c r="N110" s="35"/>
      <c r="O110" s="59"/>
      <c r="P110" s="37"/>
      <c r="Q110" s="25"/>
      <c r="R110" s="390"/>
      <c r="S110" s="49" t="s">
        <v>126</v>
      </c>
      <c r="T110" s="57"/>
      <c r="U110" s="57"/>
      <c r="V110" s="184">
        <v>0</v>
      </c>
      <c r="W110" s="184">
        <v>0</v>
      </c>
      <c r="X110" s="57">
        <v>29693</v>
      </c>
      <c r="Y110" s="57">
        <v>29724</v>
      </c>
      <c r="Z110" s="57">
        <v>29724</v>
      </c>
      <c r="AA110" s="57">
        <v>29724</v>
      </c>
      <c r="AB110" s="57">
        <v>29724</v>
      </c>
      <c r="AC110" s="57">
        <v>29724</v>
      </c>
      <c r="AD110" s="57">
        <v>29724</v>
      </c>
      <c r="AE110" s="57">
        <v>616773</v>
      </c>
      <c r="AF110" s="1274">
        <f t="shared" si="3"/>
        <v>824810</v>
      </c>
      <c r="AG110" s="83"/>
      <c r="AH110" s="83"/>
    </row>
    <row r="111" spans="1:34" s="42" customFormat="1" ht="15" thickBot="1" x14ac:dyDescent="0.35">
      <c r="A111" s="1169"/>
      <c r="B111" s="1540"/>
      <c r="C111" s="1534"/>
      <c r="D111" s="1534"/>
      <c r="E111" s="40"/>
      <c r="F111" s="1544"/>
      <c r="G111" s="1530"/>
      <c r="H111" s="180"/>
      <c r="I111" s="1555"/>
      <c r="J111" s="189"/>
      <c r="K111" s="61"/>
      <c r="L111" s="28"/>
      <c r="M111" s="28"/>
      <c r="N111" s="28"/>
      <c r="O111" s="31"/>
      <c r="P111" s="29"/>
      <c r="Q111" s="32"/>
      <c r="R111" s="392"/>
      <c r="S111" s="33" t="s">
        <v>2</v>
      </c>
      <c r="T111" s="34"/>
      <c r="U111" s="34"/>
      <c r="V111" s="1170">
        <v>1058</v>
      </c>
      <c r="W111" s="1170">
        <v>3299.2400000000002</v>
      </c>
      <c r="X111" s="1170">
        <f>((SUM(X110:$AE110))*($L110+$M110))</f>
        <v>15737.3748</v>
      </c>
      <c r="Y111" s="1170">
        <f>((SUM(Y110:$AE110))*($L110+$M110))</f>
        <v>15170.83236</v>
      </c>
      <c r="Z111" s="1170">
        <f>((SUM(Z110:$AE110))*($L110+$M110))</f>
        <v>14603.69844</v>
      </c>
      <c r="AA111" s="1170">
        <f>((SUM(AA110:$AE110))*($L110+$M110))</f>
        <v>14036.56452</v>
      </c>
      <c r="AB111" s="1170">
        <f>((SUM(AB110:$AE110))*($L110+$M110))</f>
        <v>13469.4306</v>
      </c>
      <c r="AC111" s="1170">
        <f>((SUM(AC110:$AE110))*($L110+$M110))</f>
        <v>12902.296679999999</v>
      </c>
      <c r="AD111" s="1170">
        <f>((SUM(AD110:$AE110))*($L110+$M110))</f>
        <v>12335.162759999999</v>
      </c>
      <c r="AE111" s="1170">
        <f>((SUM(AE110:$AE110))*($L110+$M110))*20</f>
        <v>235360.57679999998</v>
      </c>
      <c r="AF111" s="1275">
        <f t="shared" si="3"/>
        <v>333615.93695999996</v>
      </c>
      <c r="AG111" s="83"/>
      <c r="AH111" s="83"/>
    </row>
    <row r="112" spans="1:34" s="42" customFormat="1" ht="13.2" customHeight="1" x14ac:dyDescent="0.2">
      <c r="A112" s="1168">
        <v>43</v>
      </c>
      <c r="B112" s="1548" t="s">
        <v>441</v>
      </c>
      <c r="C112" s="1557" t="s">
        <v>498</v>
      </c>
      <c r="D112" s="1557" t="s">
        <v>496</v>
      </c>
      <c r="E112" s="260"/>
      <c r="F112" s="1527" t="s">
        <v>442</v>
      </c>
      <c r="G112" s="1529" t="s">
        <v>535</v>
      </c>
      <c r="H112" s="182"/>
      <c r="I112" s="1531">
        <v>9703992</v>
      </c>
      <c r="J112" s="182"/>
      <c r="K112" s="23"/>
      <c r="L112" s="58">
        <f>$L$7</f>
        <v>1.6580000000000001E-2</v>
      </c>
      <c r="M112" s="39">
        <f>$M$7</f>
        <v>2.5000000000000001E-3</v>
      </c>
      <c r="N112" s="35"/>
      <c r="O112" s="59"/>
      <c r="P112" s="37"/>
      <c r="Q112" s="25"/>
      <c r="R112" s="390"/>
      <c r="S112" s="49" t="s">
        <v>126</v>
      </c>
      <c r="T112" s="57"/>
      <c r="U112" s="57"/>
      <c r="V112" s="184">
        <v>0</v>
      </c>
      <c r="W112" s="184">
        <v>0</v>
      </c>
      <c r="X112" s="57">
        <v>343399</v>
      </c>
      <c r="Y112" s="57">
        <v>343508</v>
      </c>
      <c r="Z112" s="57">
        <v>343508</v>
      </c>
      <c r="AA112" s="57">
        <v>343508</v>
      </c>
      <c r="AB112" s="57">
        <v>343508</v>
      </c>
      <c r="AC112" s="57">
        <v>343508</v>
      </c>
      <c r="AD112" s="57">
        <v>343508</v>
      </c>
      <c r="AE112" s="57">
        <v>7299545</v>
      </c>
      <c r="AF112" s="1274">
        <f t="shared" si="3"/>
        <v>9703992</v>
      </c>
      <c r="AG112" s="83"/>
      <c r="AH112" s="83"/>
    </row>
    <row r="113" spans="1:34" s="42" customFormat="1" ht="15" thickBot="1" x14ac:dyDescent="0.35">
      <c r="A113" s="1169"/>
      <c r="B113" s="1549"/>
      <c r="C113" s="1558"/>
      <c r="D113" s="1558"/>
      <c r="E113" s="40"/>
      <c r="F113" s="1528"/>
      <c r="G113" s="1530"/>
      <c r="H113" s="180"/>
      <c r="I113" s="1532"/>
      <c r="J113" s="189"/>
      <c r="K113" s="61"/>
      <c r="L113" s="28"/>
      <c r="M113" s="28"/>
      <c r="N113" s="28"/>
      <c r="O113" s="31"/>
      <c r="P113" s="29"/>
      <c r="Q113" s="32"/>
      <c r="R113" s="392"/>
      <c r="S113" s="33" t="s">
        <v>2</v>
      </c>
      <c r="T113" s="34"/>
      <c r="U113" s="34"/>
      <c r="V113" s="1170">
        <v>3000</v>
      </c>
      <c r="W113" s="1170">
        <v>24259.98</v>
      </c>
      <c r="X113" s="1170">
        <f>((SUM(X112:$AE112))*($L112+$M112))</f>
        <v>185152.16735999999</v>
      </c>
      <c r="Y113" s="1170">
        <f>((SUM(Y112:$AE112))*($L112+$M112))</f>
        <v>178600.11444</v>
      </c>
      <c r="Z113" s="1170">
        <f>((SUM(Z112:$AE112))*($L112+$M112))</f>
        <v>172045.98180000001</v>
      </c>
      <c r="AA113" s="1170">
        <f>((SUM(AA112:$AE112))*($L112+$M112))</f>
        <v>165491.84915999998</v>
      </c>
      <c r="AB113" s="1170">
        <f>((SUM(AB112:$AE112))*($L112+$M112))</f>
        <v>158937.71651999999</v>
      </c>
      <c r="AC113" s="1170">
        <f>((SUM(AC112:$AE112))*($L112+$M112))</f>
        <v>152383.58387999999</v>
      </c>
      <c r="AD113" s="1170">
        <f>((SUM(AD112:$AE112))*($L112+$M112))</f>
        <v>145829.45123999999</v>
      </c>
      <c r="AE113" s="1170">
        <f>((SUM(AE112:$AE112))*($L112+$M112))*21</f>
        <v>2924781.6905999999</v>
      </c>
      <c r="AF113" s="1275">
        <f t="shared" si="3"/>
        <v>4083222.5549999997</v>
      </c>
      <c r="AG113" s="83"/>
      <c r="AH113" s="83"/>
    </row>
    <row r="114" spans="1:34" s="42" customFormat="1" ht="13.2" customHeight="1" x14ac:dyDescent="0.2">
      <c r="A114" s="1168">
        <v>44</v>
      </c>
      <c r="B114" s="1548" t="s">
        <v>443</v>
      </c>
      <c r="C114" s="1557" t="s">
        <v>495</v>
      </c>
      <c r="D114" s="1557" t="s">
        <v>494</v>
      </c>
      <c r="E114" s="260"/>
      <c r="F114" s="1527" t="s">
        <v>442</v>
      </c>
      <c r="G114" s="1529" t="s">
        <v>536</v>
      </c>
      <c r="H114" s="182"/>
      <c r="I114" s="1556">
        <v>43430</v>
      </c>
      <c r="J114" s="182"/>
      <c r="K114" s="23"/>
      <c r="L114" s="58">
        <f>$L$7</f>
        <v>1.6580000000000001E-2</v>
      </c>
      <c r="M114" s="39">
        <f>$M$7</f>
        <v>2.5000000000000001E-3</v>
      </c>
      <c r="N114" s="35"/>
      <c r="O114" s="59"/>
      <c r="P114" s="37"/>
      <c r="Q114" s="25"/>
      <c r="R114" s="390"/>
      <c r="S114" s="49" t="s">
        <v>126</v>
      </c>
      <c r="T114" s="57">
        <v>43430</v>
      </c>
      <c r="U114" s="57"/>
      <c r="V114" s="184">
        <v>0</v>
      </c>
      <c r="W114" s="57">
        <v>4688</v>
      </c>
      <c r="X114" s="57">
        <v>4696</v>
      </c>
      <c r="Y114" s="57">
        <v>4696</v>
      </c>
      <c r="Z114" s="57">
        <v>4696</v>
      </c>
      <c r="AA114" s="57">
        <v>4696</v>
      </c>
      <c r="AB114" s="57">
        <v>4696</v>
      </c>
      <c r="AC114" s="57">
        <v>4696</v>
      </c>
      <c r="AD114" s="57">
        <v>4696</v>
      </c>
      <c r="AE114" s="57">
        <v>5870</v>
      </c>
      <c r="AF114" s="1274">
        <f t="shared" si="3"/>
        <v>38742</v>
      </c>
      <c r="AG114" s="83"/>
      <c r="AH114" s="83"/>
    </row>
    <row r="115" spans="1:34" s="42" customFormat="1" ht="15" thickBot="1" x14ac:dyDescent="0.35">
      <c r="A115" s="1169"/>
      <c r="B115" s="1549"/>
      <c r="C115" s="1558"/>
      <c r="D115" s="1558"/>
      <c r="E115" s="40"/>
      <c r="F115" s="1528"/>
      <c r="G115" s="1530"/>
      <c r="H115" s="180"/>
      <c r="I115" s="1560"/>
      <c r="J115" s="189"/>
      <c r="K115" s="61"/>
      <c r="L115" s="28"/>
      <c r="M115" s="28"/>
      <c r="N115" s="28"/>
      <c r="O115" s="31"/>
      <c r="P115" s="29"/>
      <c r="Q115" s="32"/>
      <c r="R115" s="392"/>
      <c r="S115" s="33" t="s">
        <v>2</v>
      </c>
      <c r="T115" s="34"/>
      <c r="U115" s="34"/>
      <c r="V115" s="1170">
        <v>80</v>
      </c>
      <c r="W115" s="1170">
        <v>823</v>
      </c>
      <c r="X115" s="1170">
        <f>((SUM(X114:$AE114))*($L114+$M114))</f>
        <v>739.19736</v>
      </c>
      <c r="Y115" s="1170">
        <f>((SUM(Y114:$AE114))*($L114+$M114))</f>
        <v>649.59767999999997</v>
      </c>
      <c r="Z115" s="1170">
        <f>((SUM(Z114:$AE114))*($L114+$M114))</f>
        <v>559.99800000000005</v>
      </c>
      <c r="AA115" s="1170">
        <f>((SUM(AA114:$AE114))*($L114+$M114))</f>
        <v>470.39832000000001</v>
      </c>
      <c r="AB115" s="1170">
        <f>((SUM(AB114:$AE114))*($L114+$M114))</f>
        <v>380.79863999999998</v>
      </c>
      <c r="AC115" s="1170">
        <f>((SUM(AC114:$AE114))*($L114+$M114))</f>
        <v>291.19896</v>
      </c>
      <c r="AD115" s="1170">
        <f>((SUM(AD114:$AE114))*($L114+$M114))</f>
        <v>201.59927999999999</v>
      </c>
      <c r="AE115" s="1170">
        <f>((SUM(AE114:$AE114))*($L114+$M114))*2</f>
        <v>223.9992</v>
      </c>
      <c r="AF115" s="1275">
        <f t="shared" si="3"/>
        <v>3516.7874400000001</v>
      </c>
      <c r="AG115" s="83"/>
      <c r="AH115" s="83"/>
    </row>
    <row r="116" spans="1:34" s="42" customFormat="1" ht="13.2" customHeight="1" x14ac:dyDescent="0.2">
      <c r="A116" s="1168">
        <v>45</v>
      </c>
      <c r="B116" s="1523" t="s">
        <v>444</v>
      </c>
      <c r="C116" s="1525" t="s">
        <v>493</v>
      </c>
      <c r="D116" s="1525" t="s">
        <v>492</v>
      </c>
      <c r="E116" s="260"/>
      <c r="F116" s="1527" t="s">
        <v>445</v>
      </c>
      <c r="G116" s="1529" t="s">
        <v>537</v>
      </c>
      <c r="H116" s="182"/>
      <c r="I116" s="1556">
        <v>195366</v>
      </c>
      <c r="J116" s="182"/>
      <c r="K116" s="23"/>
      <c r="L116" s="58">
        <f>$L$7</f>
        <v>1.6580000000000001E-2</v>
      </c>
      <c r="M116" s="39">
        <f>$M$7</f>
        <v>2.5000000000000001E-3</v>
      </c>
      <c r="N116" s="35"/>
      <c r="O116" s="59"/>
      <c r="P116" s="37"/>
      <c r="Q116" s="25"/>
      <c r="R116" s="390"/>
      <c r="S116" s="49" t="s">
        <v>126</v>
      </c>
      <c r="T116" s="57">
        <v>195366</v>
      </c>
      <c r="U116" s="57"/>
      <c r="V116" s="184">
        <v>0</v>
      </c>
      <c r="W116" s="57">
        <v>86826</v>
      </c>
      <c r="X116" s="57">
        <v>86832</v>
      </c>
      <c r="Y116" s="57">
        <v>21708</v>
      </c>
      <c r="Z116" s="184">
        <v>0</v>
      </c>
      <c r="AA116" s="184">
        <v>0</v>
      </c>
      <c r="AB116" s="184">
        <v>0</v>
      </c>
      <c r="AC116" s="184">
        <v>0</v>
      </c>
      <c r="AD116" s="184">
        <v>0</v>
      </c>
      <c r="AE116" s="184">
        <v>0</v>
      </c>
      <c r="AF116" s="1274">
        <f t="shared" si="3"/>
        <v>108540</v>
      </c>
      <c r="AG116" s="83"/>
      <c r="AH116" s="83"/>
    </row>
    <row r="117" spans="1:34" s="42" customFormat="1" ht="15" thickBot="1" x14ac:dyDescent="0.35">
      <c r="A117" s="1169"/>
      <c r="B117" s="1524"/>
      <c r="C117" s="1526"/>
      <c r="D117" s="1526"/>
      <c r="E117" s="40"/>
      <c r="F117" s="1528"/>
      <c r="G117" s="1530"/>
      <c r="H117" s="180"/>
      <c r="I117" s="1560"/>
      <c r="J117" s="189"/>
      <c r="K117" s="61"/>
      <c r="L117" s="28"/>
      <c r="M117" s="28"/>
      <c r="N117" s="28"/>
      <c r="O117" s="31"/>
      <c r="P117" s="29"/>
      <c r="Q117" s="32"/>
      <c r="R117" s="392"/>
      <c r="S117" s="33" t="s">
        <v>2</v>
      </c>
      <c r="T117" s="34"/>
      <c r="U117" s="34"/>
      <c r="V117" s="1170">
        <v>500</v>
      </c>
      <c r="W117" s="1170">
        <v>488.41500000000002</v>
      </c>
      <c r="X117" s="1170">
        <f>((SUM(X116:$AE116))*($L116+$M116))</f>
        <v>2070.9432000000002</v>
      </c>
      <c r="Y117" s="1170">
        <f>((SUM(Y116:$AE116))*($L116+$M116))</f>
        <v>414.18864000000002</v>
      </c>
      <c r="Z117" s="1171">
        <f>((SUM(Z116:$AE116))*($L116+$M116))</f>
        <v>0</v>
      </c>
      <c r="AA117" s="1171">
        <f>((SUM(AA116:$AE116))*($L116+$M116))</f>
        <v>0</v>
      </c>
      <c r="AB117" s="1171">
        <f>((SUM(AB116:$AE116))*($L116+$M116))</f>
        <v>0</v>
      </c>
      <c r="AC117" s="1171">
        <f>((SUM(AC116:$AE116))*($L116+$M116))</f>
        <v>0</v>
      </c>
      <c r="AD117" s="1171">
        <f>((SUM(AD116:$AE116))*($L116+$M116))</f>
        <v>0</v>
      </c>
      <c r="AE117" s="1171">
        <f>((SUM(AE116:$AE116))*($L116+$M116))</f>
        <v>0</v>
      </c>
      <c r="AF117" s="1275">
        <f t="shared" si="3"/>
        <v>2485.13184</v>
      </c>
      <c r="AG117" s="83"/>
      <c r="AH117" s="83"/>
    </row>
    <row r="118" spans="1:34" s="42" customFormat="1" ht="13.2" customHeight="1" x14ac:dyDescent="0.2">
      <c r="A118" s="1168">
        <v>46</v>
      </c>
      <c r="B118" s="1548" t="s">
        <v>446</v>
      </c>
      <c r="C118" s="1557" t="s">
        <v>491</v>
      </c>
      <c r="D118" s="1557" t="s">
        <v>513</v>
      </c>
      <c r="E118" s="260"/>
      <c r="F118" s="1527" t="s">
        <v>447</v>
      </c>
      <c r="G118" s="1529" t="s">
        <v>538</v>
      </c>
      <c r="H118" s="182"/>
      <c r="I118" s="1556">
        <v>617703</v>
      </c>
      <c r="J118" s="182"/>
      <c r="K118" s="23"/>
      <c r="L118" s="58">
        <f>$L$7</f>
        <v>1.6580000000000001E-2</v>
      </c>
      <c r="M118" s="39">
        <f>$M$7</f>
        <v>2.5000000000000001E-3</v>
      </c>
      <c r="N118" s="35"/>
      <c r="O118" s="59"/>
      <c r="P118" s="37"/>
      <c r="Q118" s="25"/>
      <c r="R118" s="390"/>
      <c r="S118" s="49" t="s">
        <v>126</v>
      </c>
      <c r="T118" s="57">
        <v>617703</v>
      </c>
      <c r="U118" s="57"/>
      <c r="V118" s="184">
        <v>0</v>
      </c>
      <c r="W118" s="57">
        <v>20913</v>
      </c>
      <c r="X118" s="57">
        <v>20940</v>
      </c>
      <c r="Y118" s="57">
        <v>20940</v>
      </c>
      <c r="Z118" s="57">
        <v>20940</v>
      </c>
      <c r="AA118" s="57">
        <v>20940</v>
      </c>
      <c r="AB118" s="57">
        <v>20940</v>
      </c>
      <c r="AC118" s="57">
        <v>20940</v>
      </c>
      <c r="AD118" s="57">
        <v>20940</v>
      </c>
      <c r="AE118" s="57">
        <v>450210</v>
      </c>
      <c r="AF118" s="1274">
        <f t="shared" si="3"/>
        <v>596790</v>
      </c>
      <c r="AG118" s="83"/>
      <c r="AH118" s="83"/>
    </row>
    <row r="119" spans="1:34" s="42" customFormat="1" ht="15" thickBot="1" x14ac:dyDescent="0.35">
      <c r="A119" s="1169"/>
      <c r="B119" s="1549"/>
      <c r="C119" s="1558"/>
      <c r="D119" s="1558"/>
      <c r="E119" s="40"/>
      <c r="F119" s="1528"/>
      <c r="G119" s="1530"/>
      <c r="H119" s="180"/>
      <c r="I119" s="1560"/>
      <c r="J119" s="189"/>
      <c r="K119" s="61"/>
      <c r="L119" s="28"/>
      <c r="M119" s="28"/>
      <c r="N119" s="28"/>
      <c r="O119" s="31"/>
      <c r="P119" s="29"/>
      <c r="Q119" s="32"/>
      <c r="R119" s="392"/>
      <c r="S119" s="33" t="s">
        <v>2</v>
      </c>
      <c r="T119" s="34"/>
      <c r="U119" s="34"/>
      <c r="V119" s="1170">
        <v>1000</v>
      </c>
      <c r="W119" s="1170">
        <v>1544.2574999999999</v>
      </c>
      <c r="X119" s="1170">
        <f>((SUM(X118:$AE118))*($L118+$M118))</f>
        <v>11386.753199999999</v>
      </c>
      <c r="Y119" s="1170">
        <f>((SUM(Y118:$AE118))*($L118+$M118))</f>
        <v>10987.218000000001</v>
      </c>
      <c r="Z119" s="1170">
        <f>((SUM(Z118:$AE118))*($L118+$M118))</f>
        <v>10587.6828</v>
      </c>
      <c r="AA119" s="1170">
        <f>((SUM(AA118:$AE118))*($L118+$M118))</f>
        <v>10188.1476</v>
      </c>
      <c r="AB119" s="1170">
        <f>((SUM(AB118:$AE118))*($L118+$M118))</f>
        <v>9788.6124</v>
      </c>
      <c r="AC119" s="1170">
        <f>((SUM(AC118:$AE118))*($L118+$M118))</f>
        <v>9389.0771999999997</v>
      </c>
      <c r="AD119" s="1170">
        <f>((SUM(AD118:$AE118))*($L118+$M118))</f>
        <v>8989.5419999999995</v>
      </c>
      <c r="AE119" s="1170">
        <f>((SUM(AE118:$AE118))*($L118+$M118))*21</f>
        <v>180390.14279999997</v>
      </c>
      <c r="AF119" s="1275">
        <f t="shared" si="3"/>
        <v>251707.17599999998</v>
      </c>
      <c r="AG119" s="83"/>
      <c r="AH119" s="83"/>
    </row>
    <row r="120" spans="1:34" s="42" customFormat="1" ht="13.2" customHeight="1" x14ac:dyDescent="0.2">
      <c r="A120" s="1168">
        <v>47</v>
      </c>
      <c r="B120" s="1548" t="s">
        <v>384</v>
      </c>
      <c r="C120" s="1557" t="s">
        <v>490</v>
      </c>
      <c r="D120" s="1557" t="s">
        <v>514</v>
      </c>
      <c r="E120" s="260"/>
      <c r="F120" s="1527" t="s">
        <v>448</v>
      </c>
      <c r="G120" s="1529" t="s">
        <v>539</v>
      </c>
      <c r="H120" s="182"/>
      <c r="I120" s="1556">
        <v>145332</v>
      </c>
      <c r="J120" s="182"/>
      <c r="K120" s="23"/>
      <c r="L120" s="58">
        <f>$L$7</f>
        <v>1.6580000000000001E-2</v>
      </c>
      <c r="M120" s="39">
        <f>$M$7</f>
        <v>2.5000000000000001E-3</v>
      </c>
      <c r="N120" s="35"/>
      <c r="O120" s="59"/>
      <c r="P120" s="37"/>
      <c r="Q120" s="25"/>
      <c r="R120" s="390"/>
      <c r="S120" s="49" t="s">
        <v>126</v>
      </c>
      <c r="T120" s="57">
        <v>145332</v>
      </c>
      <c r="U120" s="57"/>
      <c r="V120" s="184">
        <v>0</v>
      </c>
      <c r="W120" s="57">
        <v>7396</v>
      </c>
      <c r="X120" s="57">
        <v>7456</v>
      </c>
      <c r="Y120" s="57">
        <v>7456</v>
      </c>
      <c r="Z120" s="57">
        <v>7456</v>
      </c>
      <c r="AA120" s="57">
        <v>7456</v>
      </c>
      <c r="AB120" s="57">
        <v>7456</v>
      </c>
      <c r="AC120" s="57">
        <v>7456</v>
      </c>
      <c r="AD120" s="57">
        <v>7456</v>
      </c>
      <c r="AE120" s="57">
        <v>85744</v>
      </c>
      <c r="AF120" s="1274">
        <f t="shared" si="3"/>
        <v>137936</v>
      </c>
      <c r="AG120" s="83"/>
      <c r="AH120" s="83"/>
    </row>
    <row r="121" spans="1:34" s="42" customFormat="1" ht="15" thickBot="1" x14ac:dyDescent="0.35">
      <c r="A121" s="1169"/>
      <c r="B121" s="1549"/>
      <c r="C121" s="1558"/>
      <c r="D121" s="1558"/>
      <c r="E121" s="40"/>
      <c r="F121" s="1528"/>
      <c r="G121" s="1530"/>
      <c r="H121" s="180"/>
      <c r="I121" s="1560"/>
      <c r="J121" s="189"/>
      <c r="K121" s="61"/>
      <c r="L121" s="28"/>
      <c r="M121" s="28"/>
      <c r="N121" s="28"/>
      <c r="O121" s="31"/>
      <c r="P121" s="29"/>
      <c r="Q121" s="32"/>
      <c r="R121" s="392"/>
      <c r="S121" s="33" t="s">
        <v>2</v>
      </c>
      <c r="T121" s="34"/>
      <c r="U121" s="34"/>
      <c r="V121" s="1170">
        <v>200</v>
      </c>
      <c r="W121" s="1170">
        <v>363.33</v>
      </c>
      <c r="X121" s="1170">
        <f>((SUM(X120:$AE120))*($L120+$M120))</f>
        <v>2631.8188799999998</v>
      </c>
      <c r="Y121" s="1170">
        <f>((SUM(Y120:$AE120))*($L120+$M120))</f>
        <v>2489.5583999999999</v>
      </c>
      <c r="Z121" s="1170">
        <f>((SUM(Z120:$AE120))*($L120+$M120))</f>
        <v>2347.29792</v>
      </c>
      <c r="AA121" s="1170">
        <f>((SUM(AA120:$AE120))*($L120+$M120))</f>
        <v>2205.0374400000001</v>
      </c>
      <c r="AB121" s="1170">
        <f>((SUM(AB120:$AE120))*($L120+$M120))</f>
        <v>2062.7769600000001</v>
      </c>
      <c r="AC121" s="1170">
        <f>((SUM(AC120:$AE120))*($L120+$M120))</f>
        <v>1920.51648</v>
      </c>
      <c r="AD121" s="1170">
        <f>((SUM(AD120:$AE120))*($L120+$M120))</f>
        <v>1778.2560000000001</v>
      </c>
      <c r="AE121" s="1170">
        <f>((SUM(AE120:$AE120))*($L120+$M120))*11</f>
        <v>17995.950720000001</v>
      </c>
      <c r="AF121" s="1275">
        <f t="shared" si="3"/>
        <v>33431.212800000001</v>
      </c>
      <c r="AG121" s="83"/>
      <c r="AH121" s="83"/>
    </row>
    <row r="122" spans="1:34" s="42" customFormat="1" ht="13.95" customHeight="1" x14ac:dyDescent="0.2">
      <c r="A122" s="1168">
        <v>48</v>
      </c>
      <c r="B122" s="1548" t="s">
        <v>449</v>
      </c>
      <c r="C122" s="1557" t="s">
        <v>489</v>
      </c>
      <c r="D122" s="1557" t="s">
        <v>515</v>
      </c>
      <c r="E122" s="260"/>
      <c r="F122" s="1527" t="s">
        <v>448</v>
      </c>
      <c r="G122" s="1529" t="s">
        <v>539</v>
      </c>
      <c r="H122" s="182"/>
      <c r="I122" s="1556">
        <v>132027</v>
      </c>
      <c r="J122" s="182"/>
      <c r="K122" s="23"/>
      <c r="L122" s="58">
        <f>$L$7</f>
        <v>1.6580000000000001E-2</v>
      </c>
      <c r="M122" s="39">
        <f>$M$7</f>
        <v>2.5000000000000001E-3</v>
      </c>
      <c r="N122" s="35"/>
      <c r="O122" s="59"/>
      <c r="P122" s="37"/>
      <c r="Q122" s="25"/>
      <c r="R122" s="390"/>
      <c r="S122" s="49" t="s">
        <v>126</v>
      </c>
      <c r="T122" s="57">
        <v>132027</v>
      </c>
      <c r="U122" s="57"/>
      <c r="V122" s="184">
        <v>0</v>
      </c>
      <c r="W122" s="57">
        <v>6745</v>
      </c>
      <c r="X122" s="57">
        <v>6772</v>
      </c>
      <c r="Y122" s="57">
        <v>6772</v>
      </c>
      <c r="Z122" s="57">
        <v>6772</v>
      </c>
      <c r="AA122" s="57">
        <v>6772</v>
      </c>
      <c r="AB122" s="57">
        <v>6772</v>
      </c>
      <c r="AC122" s="57">
        <v>6772</v>
      </c>
      <c r="AD122" s="57">
        <v>6772</v>
      </c>
      <c r="AE122" s="57">
        <v>77878</v>
      </c>
      <c r="AF122" s="1274">
        <f t="shared" si="3"/>
        <v>125282</v>
      </c>
      <c r="AG122" s="83"/>
      <c r="AH122" s="83"/>
    </row>
    <row r="123" spans="1:34" s="42" customFormat="1" ht="15" thickBot="1" x14ac:dyDescent="0.35">
      <c r="A123" s="1169"/>
      <c r="B123" s="1549"/>
      <c r="C123" s="1558"/>
      <c r="D123" s="1558"/>
      <c r="E123" s="40"/>
      <c r="F123" s="1528"/>
      <c r="G123" s="1530"/>
      <c r="H123" s="180"/>
      <c r="I123" s="1560"/>
      <c r="J123" s="189"/>
      <c r="K123" s="61"/>
      <c r="L123" s="28"/>
      <c r="M123" s="28"/>
      <c r="N123" s="28"/>
      <c r="O123" s="31"/>
      <c r="P123" s="29"/>
      <c r="Q123" s="32"/>
      <c r="R123" s="392"/>
      <c r="S123" s="33" t="s">
        <v>2</v>
      </c>
      <c r="T123" s="34"/>
      <c r="U123" s="34"/>
      <c r="V123" s="1170">
        <v>200</v>
      </c>
      <c r="W123" s="1170">
        <v>747.32264500000019</v>
      </c>
      <c r="X123" s="1170">
        <f>((SUM(X122:$AE122))*($L122+$M122))</f>
        <v>2390.3805600000001</v>
      </c>
      <c r="Y123" s="1170">
        <f>((SUM(Y122:$AE122))*($L122+$M122))</f>
        <v>2261.1707999999999</v>
      </c>
      <c r="Z123" s="1170">
        <f>((SUM(Z122:$AE122))*($L122+$M122))</f>
        <v>2131.9610400000001</v>
      </c>
      <c r="AA123" s="1170">
        <f>((SUM(AA122:$AE122))*($L122+$M122))</f>
        <v>2002.75128</v>
      </c>
      <c r="AB123" s="1170">
        <f>((SUM(AB122:$AE122))*($L122+$M122))</f>
        <v>1873.54152</v>
      </c>
      <c r="AC123" s="1170">
        <f>((SUM(AC122:$AE122))*($L122+$M122))</f>
        <v>1744.33176</v>
      </c>
      <c r="AD123" s="1170">
        <f>((SUM(AD122:$AE122))*($L122+$M122))</f>
        <v>1615.1220000000001</v>
      </c>
      <c r="AE123" s="1170">
        <f>((SUM(AE122:$AE122))*($L122+$M122))*11</f>
        <v>16345.034639999998</v>
      </c>
      <c r="AF123" s="1275">
        <f t="shared" si="3"/>
        <v>30364.293599999997</v>
      </c>
      <c r="AG123" s="83"/>
      <c r="AH123" s="83"/>
    </row>
    <row r="124" spans="1:34" s="42" customFormat="1" ht="13.2" customHeight="1" x14ac:dyDescent="0.2">
      <c r="A124" s="1168">
        <v>49</v>
      </c>
      <c r="B124" s="1523" t="s">
        <v>450</v>
      </c>
      <c r="C124" s="1525" t="s">
        <v>488</v>
      </c>
      <c r="D124" s="1525" t="s">
        <v>487</v>
      </c>
      <c r="E124" s="260"/>
      <c r="F124" s="1527" t="s">
        <v>451</v>
      </c>
      <c r="G124" s="1529" t="s">
        <v>540</v>
      </c>
      <c r="H124" s="182"/>
      <c r="I124" s="1556">
        <v>279650</v>
      </c>
      <c r="J124" s="182"/>
      <c r="K124" s="23"/>
      <c r="L124" s="58">
        <f>$L$7</f>
        <v>1.6580000000000001E-2</v>
      </c>
      <c r="M124" s="39">
        <f>$M$7</f>
        <v>2.5000000000000001E-3</v>
      </c>
      <c r="N124" s="35"/>
      <c r="O124" s="59"/>
      <c r="P124" s="37"/>
      <c r="Q124" s="25"/>
      <c r="R124" s="390"/>
      <c r="S124" s="49" t="s">
        <v>126</v>
      </c>
      <c r="T124" s="57">
        <v>279650</v>
      </c>
      <c r="U124" s="57"/>
      <c r="V124" s="184">
        <v>0</v>
      </c>
      <c r="W124" s="57">
        <v>9467</v>
      </c>
      <c r="X124" s="57">
        <v>9564</v>
      </c>
      <c r="Y124" s="57">
        <v>9564</v>
      </c>
      <c r="Z124" s="57">
        <v>9564</v>
      </c>
      <c r="AA124" s="57">
        <v>9564</v>
      </c>
      <c r="AB124" s="57">
        <v>9564</v>
      </c>
      <c r="AC124" s="57">
        <v>9564</v>
      </c>
      <c r="AD124" s="57">
        <v>9564</v>
      </c>
      <c r="AE124" s="57">
        <v>203235</v>
      </c>
      <c r="AF124" s="1274">
        <f t="shared" si="3"/>
        <v>270183</v>
      </c>
      <c r="AG124" s="83"/>
      <c r="AH124" s="83"/>
    </row>
    <row r="125" spans="1:34" s="42" customFormat="1" ht="15" thickBot="1" x14ac:dyDescent="0.35">
      <c r="A125" s="1169"/>
      <c r="B125" s="1524"/>
      <c r="C125" s="1526"/>
      <c r="D125" s="1526"/>
      <c r="E125" s="40"/>
      <c r="F125" s="1528"/>
      <c r="G125" s="1530"/>
      <c r="H125" s="180"/>
      <c r="I125" s="1560"/>
      <c r="J125" s="189"/>
      <c r="K125" s="61"/>
      <c r="L125" s="28"/>
      <c r="M125" s="28"/>
      <c r="N125" s="28"/>
      <c r="O125" s="31"/>
      <c r="P125" s="29"/>
      <c r="Q125" s="32"/>
      <c r="R125" s="392"/>
      <c r="S125" s="33" t="s">
        <v>2</v>
      </c>
      <c r="T125" s="34"/>
      <c r="U125" s="34"/>
      <c r="V125" s="1170">
        <v>300</v>
      </c>
      <c r="W125" s="1170">
        <v>707.5145</v>
      </c>
      <c r="X125" s="1170">
        <f>((SUM(X124:$AE124))*($L124+$M124))</f>
        <v>5155.0916399999996</v>
      </c>
      <c r="Y125" s="1170">
        <f>((SUM(Y124:$AE124))*($L124+$M124))</f>
        <v>4972.6105200000002</v>
      </c>
      <c r="Z125" s="1170">
        <f>((SUM(Z124:$AE124))*($L124+$M124))</f>
        <v>4790.1293999999998</v>
      </c>
      <c r="AA125" s="1170">
        <f>((SUM(AA124:$AE124))*($L124+$M124))</f>
        <v>4607.6482800000003</v>
      </c>
      <c r="AB125" s="1170">
        <f>((SUM(AB124:$AE124))*($L124+$M124))</f>
        <v>4425.16716</v>
      </c>
      <c r="AC125" s="1170">
        <f>((SUM(AC124:$AE124))*($L124+$M124))</f>
        <v>4242.6860399999996</v>
      </c>
      <c r="AD125" s="1170">
        <f>((SUM(AD124:$AE124))*($L124+$M124))</f>
        <v>4060.2049200000001</v>
      </c>
      <c r="AE125" s="1170">
        <f>((SUM(AE124:$AE124))*($L124+$M124))*21</f>
        <v>81432.199800000002</v>
      </c>
      <c r="AF125" s="1275">
        <f t="shared" si="3"/>
        <v>113685.73776</v>
      </c>
      <c r="AG125" s="83"/>
      <c r="AH125" s="83"/>
    </row>
    <row r="126" spans="1:34" s="42" customFormat="1" ht="13.95" customHeight="1" x14ac:dyDescent="0.2">
      <c r="A126" s="1168">
        <v>50</v>
      </c>
      <c r="B126" s="1523" t="s">
        <v>452</v>
      </c>
      <c r="C126" s="1525" t="s">
        <v>486</v>
      </c>
      <c r="D126" s="1525" t="s">
        <v>485</v>
      </c>
      <c r="E126" s="260"/>
      <c r="F126" s="1527" t="s">
        <v>453</v>
      </c>
      <c r="G126" s="1529" t="s">
        <v>541</v>
      </c>
      <c r="H126" s="182"/>
      <c r="I126" s="1556">
        <v>400000</v>
      </c>
      <c r="J126" s="182"/>
      <c r="K126" s="23"/>
      <c r="L126" s="58">
        <f>$L$7</f>
        <v>1.6580000000000001E-2</v>
      </c>
      <c r="M126" s="39">
        <f>$M$7</f>
        <v>2.5000000000000001E-3</v>
      </c>
      <c r="N126" s="35"/>
      <c r="O126" s="59"/>
      <c r="P126" s="37"/>
      <c r="Q126" s="25"/>
      <c r="R126" s="390"/>
      <c r="S126" s="49" t="s">
        <v>126</v>
      </c>
      <c r="T126" s="57">
        <v>400000</v>
      </c>
      <c r="U126" s="57"/>
      <c r="V126" s="184">
        <v>0</v>
      </c>
      <c r="W126" s="57">
        <v>13653</v>
      </c>
      <c r="X126" s="57">
        <v>13676</v>
      </c>
      <c r="Y126" s="57">
        <v>13676</v>
      </c>
      <c r="Z126" s="57">
        <v>13676</v>
      </c>
      <c r="AA126" s="57">
        <v>13676</v>
      </c>
      <c r="AB126" s="57">
        <v>13676</v>
      </c>
      <c r="AC126" s="57">
        <v>13676</v>
      </c>
      <c r="AD126" s="57">
        <v>13676</v>
      </c>
      <c r="AE126" s="57">
        <v>290615</v>
      </c>
      <c r="AF126" s="1274">
        <f t="shared" si="3"/>
        <v>386347</v>
      </c>
      <c r="AG126" s="83"/>
      <c r="AH126" s="83"/>
    </row>
    <row r="127" spans="1:34" s="42" customFormat="1" ht="15" thickBot="1" x14ac:dyDescent="0.35">
      <c r="A127" s="1169"/>
      <c r="B127" s="1524"/>
      <c r="C127" s="1526"/>
      <c r="D127" s="1526"/>
      <c r="E127" s="40"/>
      <c r="F127" s="1528"/>
      <c r="G127" s="1530"/>
      <c r="H127" s="180"/>
      <c r="I127" s="1560"/>
      <c r="J127" s="189"/>
      <c r="K127" s="61"/>
      <c r="L127" s="28"/>
      <c r="M127" s="28"/>
      <c r="N127" s="28"/>
      <c r="O127" s="31"/>
      <c r="P127" s="29"/>
      <c r="Q127" s="32"/>
      <c r="R127" s="392"/>
      <c r="S127" s="33" t="s">
        <v>2</v>
      </c>
      <c r="T127" s="34"/>
      <c r="U127" s="34"/>
      <c r="V127" s="1170">
        <v>400</v>
      </c>
      <c r="W127" s="1170">
        <v>1012</v>
      </c>
      <c r="X127" s="1170">
        <f>((SUM(X126:$AE126))*($L126+$M126))</f>
        <v>7371.5007599999999</v>
      </c>
      <c r="Y127" s="1170">
        <f>((SUM(Y126:$AE126))*($L126+$M126))</f>
        <v>7110.56268</v>
      </c>
      <c r="Z127" s="1170">
        <f>((SUM(Z126:$AE126))*($L126+$M126))</f>
        <v>6849.6246000000001</v>
      </c>
      <c r="AA127" s="1170">
        <f>((SUM(AA126:$AE126))*($L126+$M126))</f>
        <v>6588.6865200000002</v>
      </c>
      <c r="AB127" s="1170">
        <f>((SUM(AB126:$AE126))*($L126+$M126))</f>
        <v>6327.7484400000003</v>
      </c>
      <c r="AC127" s="1170">
        <f>((SUM(AC126:$AE126))*($L126+$M126))</f>
        <v>6066.8103599999995</v>
      </c>
      <c r="AD127" s="1170">
        <f>((SUM(AD126:$AE126))*($L126+$M126))</f>
        <v>5805.8722799999996</v>
      </c>
      <c r="AE127" s="1170">
        <f>((SUM(AE126:$AE126))*($L126+$M126))*21</f>
        <v>116443.6182</v>
      </c>
      <c r="AF127" s="1275">
        <f t="shared" si="3"/>
        <v>162564.42384</v>
      </c>
      <c r="AG127" s="83"/>
      <c r="AH127" s="83"/>
    </row>
    <row r="128" spans="1:34" s="42" customFormat="1" ht="12.6" customHeight="1" x14ac:dyDescent="0.25">
      <c r="A128" s="1168">
        <v>51</v>
      </c>
      <c r="B128" s="1523" t="s">
        <v>646</v>
      </c>
      <c r="C128" s="1533" t="s">
        <v>657</v>
      </c>
      <c r="D128" s="1533" t="s">
        <v>658</v>
      </c>
      <c r="E128" s="260"/>
      <c r="F128" s="1527" t="s">
        <v>659</v>
      </c>
      <c r="G128" s="1529" t="s">
        <v>660</v>
      </c>
      <c r="H128" s="182"/>
      <c r="I128" s="1531">
        <v>247902</v>
      </c>
      <c r="J128" s="364"/>
      <c r="K128" s="362" t="s">
        <v>126</v>
      </c>
      <c r="L128" s="58">
        <f>$L$7</f>
        <v>1.6580000000000001E-2</v>
      </c>
      <c r="M128" s="39">
        <f>$M$7</f>
        <v>2.5000000000000001E-3</v>
      </c>
      <c r="N128" s="35"/>
      <c r="O128" s="59"/>
      <c r="P128" s="37"/>
      <c r="Q128" s="25"/>
      <c r="R128" s="390"/>
      <c r="S128" s="49" t="s">
        <v>126</v>
      </c>
      <c r="T128" s="57"/>
      <c r="U128" s="57"/>
      <c r="V128" s="184"/>
      <c r="W128" s="184">
        <v>0</v>
      </c>
      <c r="X128" s="57">
        <v>61974</v>
      </c>
      <c r="Y128" s="57">
        <v>61976</v>
      </c>
      <c r="Z128" s="57">
        <v>61976</v>
      </c>
      <c r="AA128" s="57">
        <v>61976</v>
      </c>
      <c r="AB128" s="184">
        <v>0</v>
      </c>
      <c r="AC128" s="184">
        <v>0</v>
      </c>
      <c r="AD128" s="184">
        <v>0</v>
      </c>
      <c r="AE128" s="184">
        <v>0</v>
      </c>
      <c r="AF128" s="1274">
        <f t="shared" si="3"/>
        <v>247902</v>
      </c>
      <c r="AG128" s="83"/>
      <c r="AH128" s="83"/>
    </row>
    <row r="129" spans="1:35" s="42" customFormat="1" ht="14.4" thickBot="1" x14ac:dyDescent="0.3">
      <c r="A129" s="1169"/>
      <c r="B129" s="1524"/>
      <c r="C129" s="1526"/>
      <c r="D129" s="1526"/>
      <c r="E129" s="40"/>
      <c r="F129" s="1528"/>
      <c r="G129" s="1534"/>
      <c r="H129" s="180"/>
      <c r="I129" s="1532"/>
      <c r="J129" s="365"/>
      <c r="K129" s="363" t="s">
        <v>2</v>
      </c>
      <c r="L129" s="28"/>
      <c r="M129" s="28"/>
      <c r="N129" s="28"/>
      <c r="O129" s="31"/>
      <c r="P129" s="29"/>
      <c r="Q129" s="32"/>
      <c r="R129" s="392"/>
      <c r="S129" s="33" t="s">
        <v>2</v>
      </c>
      <c r="T129" s="34"/>
      <c r="U129" s="34"/>
      <c r="V129" s="34"/>
      <c r="W129" s="1170">
        <f>SUM(W$128:$AA128)*0.25%</f>
        <v>619.755</v>
      </c>
      <c r="X129" s="1170">
        <f>((SUM(X128:$AE128))*($L128+$M128))</f>
        <v>4729.9701599999999</v>
      </c>
      <c r="Y129" s="1170">
        <f>((SUM(Y128:$AE128))*($L128+$M128))</f>
        <v>3547.5062400000002</v>
      </c>
      <c r="Z129" s="1170">
        <f>((SUM(Z128:$AE128))*($L128+$M128))</f>
        <v>2365.00416</v>
      </c>
      <c r="AA129" s="1170">
        <f>((SUM(AA128:$AE128))*($L128+$M128))</f>
        <v>1182.50208</v>
      </c>
      <c r="AB129" s="1171">
        <f>((SUM(AB128:$AE128))*($L128+$M128))</f>
        <v>0</v>
      </c>
      <c r="AC129" s="1171">
        <f>((SUM(AC128:$AE128))*($L128+$M128))</f>
        <v>0</v>
      </c>
      <c r="AD129" s="1171">
        <f>((SUM(AD128:$AE128))*($L128+$M128))</f>
        <v>0</v>
      </c>
      <c r="AE129" s="1171">
        <f>((SUM(AE128:$AE128))*($L128+$M128))</f>
        <v>0</v>
      </c>
      <c r="AF129" s="1275">
        <f t="shared" si="3"/>
        <v>11824.98264</v>
      </c>
      <c r="AG129" s="83"/>
      <c r="AH129" s="83"/>
    </row>
    <row r="130" spans="1:35" s="42" customFormat="1" ht="12.6" customHeight="1" x14ac:dyDescent="0.25">
      <c r="A130" s="1168">
        <v>52</v>
      </c>
      <c r="B130" s="1523" t="s">
        <v>666</v>
      </c>
      <c r="C130" s="1525" t="s">
        <v>722</v>
      </c>
      <c r="D130" s="1525" t="s">
        <v>723</v>
      </c>
      <c r="E130" s="260"/>
      <c r="F130" s="1527" t="s">
        <v>721</v>
      </c>
      <c r="G130" s="1529" t="s">
        <v>724</v>
      </c>
      <c r="H130" s="182"/>
      <c r="I130" s="1531">
        <v>54624</v>
      </c>
      <c r="J130" s="364"/>
      <c r="K130" s="362" t="s">
        <v>126</v>
      </c>
      <c r="L130" s="58">
        <f>$L$7</f>
        <v>1.6580000000000001E-2</v>
      </c>
      <c r="M130" s="39">
        <f>$M$7</f>
        <v>2.5000000000000001E-3</v>
      </c>
      <c r="N130" s="35"/>
      <c r="O130" s="59"/>
      <c r="P130" s="37"/>
      <c r="Q130" s="25"/>
      <c r="R130" s="390"/>
      <c r="S130" s="49" t="s">
        <v>126</v>
      </c>
      <c r="T130" s="57"/>
      <c r="U130" s="57"/>
      <c r="V130" s="184"/>
      <c r="W130" s="184">
        <v>3760</v>
      </c>
      <c r="X130" s="57">
        <v>8064</v>
      </c>
      <c r="Y130" s="57">
        <v>8064</v>
      </c>
      <c r="Z130" s="57">
        <v>8064</v>
      </c>
      <c r="AA130" s="57">
        <v>8064</v>
      </c>
      <c r="AB130" s="57">
        <v>8064</v>
      </c>
      <c r="AC130" s="57">
        <v>8064</v>
      </c>
      <c r="AD130" s="57">
        <v>2480</v>
      </c>
      <c r="AE130" s="184">
        <v>0</v>
      </c>
      <c r="AF130" s="1274">
        <f t="shared" si="3"/>
        <v>50864</v>
      </c>
      <c r="AG130" s="83"/>
      <c r="AH130" s="83"/>
    </row>
    <row r="131" spans="1:35" s="42" customFormat="1" ht="14.4" thickBot="1" x14ac:dyDescent="0.3">
      <c r="A131" s="1169"/>
      <c r="B131" s="1524"/>
      <c r="C131" s="1526"/>
      <c r="D131" s="1526"/>
      <c r="E131" s="40"/>
      <c r="F131" s="1528"/>
      <c r="G131" s="1530"/>
      <c r="H131" s="180"/>
      <c r="I131" s="1532"/>
      <c r="J131" s="365"/>
      <c r="K131" s="363" t="s">
        <v>2</v>
      </c>
      <c r="L131" s="28"/>
      <c r="M131" s="28"/>
      <c r="N131" s="28"/>
      <c r="O131" s="31"/>
      <c r="P131" s="29"/>
      <c r="Q131" s="32"/>
      <c r="R131" s="392"/>
      <c r="S131" s="33" t="s">
        <v>2</v>
      </c>
      <c r="T131" s="34"/>
      <c r="U131" s="34"/>
      <c r="V131" s="34"/>
      <c r="W131" s="1170">
        <v>417.68</v>
      </c>
      <c r="X131" s="1170">
        <f>((SUM(X130:$AE130))*($L130+$M130))</f>
        <v>970.48511999999994</v>
      </c>
      <c r="Y131" s="1170">
        <f>((SUM(Y130:$AE130))*($L130+$M130))</f>
        <v>816.62400000000002</v>
      </c>
      <c r="Z131" s="1170">
        <f>((SUM(Z130:$AE130))*($L130+$M130))</f>
        <v>662.76288</v>
      </c>
      <c r="AA131" s="1170">
        <f>((SUM(AA130:$AE130))*($L130+$M130))</f>
        <v>508.90175999999997</v>
      </c>
      <c r="AB131" s="1170">
        <f>((SUM(AB130:$AE130))*($L130+$M130))</f>
        <v>355.04064</v>
      </c>
      <c r="AC131" s="1170">
        <f>((SUM(AC130:$AE130))*($L130+$M130))</f>
        <v>201.17952</v>
      </c>
      <c r="AD131" s="1170">
        <f>((SUM(AD130:$AE130))*($L130+$M130))</f>
        <v>47.318399999999997</v>
      </c>
      <c r="AE131" s="1171">
        <f>((SUM(AE130:$AE130))*($L130+$M130))</f>
        <v>0</v>
      </c>
      <c r="AF131" s="1275">
        <f t="shared" si="3"/>
        <v>3562.3123200000005</v>
      </c>
      <c r="AG131" s="83"/>
      <c r="AH131" s="83"/>
    </row>
    <row r="132" spans="1:35" s="42" customFormat="1" ht="12.6" customHeight="1" x14ac:dyDescent="0.25">
      <c r="A132" s="1168">
        <v>53</v>
      </c>
      <c r="B132" s="1523" t="s">
        <v>667</v>
      </c>
      <c r="C132" s="1525" t="s">
        <v>717</v>
      </c>
      <c r="D132" s="1525" t="s">
        <v>718</v>
      </c>
      <c r="E132" s="260">
        <v>44594</v>
      </c>
      <c r="F132" s="1527">
        <v>44594</v>
      </c>
      <c r="G132" s="1529" t="s">
        <v>719</v>
      </c>
      <c r="H132" s="182"/>
      <c r="I132" s="1531">
        <v>178121</v>
      </c>
      <c r="J132" s="364"/>
      <c r="K132" s="362" t="s">
        <v>126</v>
      </c>
      <c r="L132" s="58">
        <f>$L$7</f>
        <v>1.6580000000000001E-2</v>
      </c>
      <c r="M132" s="39">
        <f>$M$7</f>
        <v>2.5000000000000001E-3</v>
      </c>
      <c r="N132" s="35"/>
      <c r="O132" s="59"/>
      <c r="P132" s="37"/>
      <c r="Q132" s="25"/>
      <c r="R132" s="390"/>
      <c r="S132" s="49" t="s">
        <v>126</v>
      </c>
      <c r="T132" s="57"/>
      <c r="U132" s="57"/>
      <c r="V132" s="184"/>
      <c r="W132" s="184">
        <v>0</v>
      </c>
      <c r="X132" s="57">
        <f>12496+72342</f>
        <v>84838</v>
      </c>
      <c r="Y132" s="57">
        <v>12500</v>
      </c>
      <c r="Z132" s="57">
        <v>12500</v>
      </c>
      <c r="AA132" s="57">
        <v>12500</v>
      </c>
      <c r="AB132" s="57">
        <v>12500</v>
      </c>
      <c r="AC132" s="57">
        <v>12500</v>
      </c>
      <c r="AD132" s="57">
        <v>12500</v>
      </c>
      <c r="AE132" s="184">
        <f>90625-72342</f>
        <v>18283</v>
      </c>
      <c r="AF132" s="1274">
        <f t="shared" si="3"/>
        <v>178121</v>
      </c>
      <c r="AG132" s="83"/>
      <c r="AH132" s="83"/>
    </row>
    <row r="133" spans="1:35" s="42" customFormat="1" ht="14.4" thickBot="1" x14ac:dyDescent="0.3">
      <c r="A133" s="1169"/>
      <c r="B133" s="1524"/>
      <c r="C133" s="1526"/>
      <c r="D133" s="1526"/>
      <c r="E133" s="40"/>
      <c r="F133" s="1528"/>
      <c r="G133" s="1530"/>
      <c r="H133" s="180"/>
      <c r="I133" s="1532"/>
      <c r="J133" s="365"/>
      <c r="K133" s="363" t="s">
        <v>2</v>
      </c>
      <c r="L133" s="28"/>
      <c r="M133" s="28"/>
      <c r="N133" s="28"/>
      <c r="O133" s="31"/>
      <c r="P133" s="29"/>
      <c r="Q133" s="32"/>
      <c r="R133" s="392"/>
      <c r="S133" s="33" t="s">
        <v>2</v>
      </c>
      <c r="T133" s="34"/>
      <c r="U133" s="34"/>
      <c r="V133" s="34"/>
      <c r="W133" s="1170">
        <v>471.30250000000001</v>
      </c>
      <c r="X133" s="1170">
        <f>((SUM(X132:$AE132))*($L132+$M132))</f>
        <v>3398.5486799999999</v>
      </c>
      <c r="Y133" s="1170">
        <f>((SUM(Y132:$AE132))*($L132+$M132))</f>
        <v>1779.8396399999999</v>
      </c>
      <c r="Z133" s="1170">
        <f>((SUM(Z132:$AE132))*($L132+$M132))</f>
        <v>1541.3396399999999</v>
      </c>
      <c r="AA133" s="1170">
        <f>((SUM(AA132:$AE132))*($L132+$M132))</f>
        <v>1302.8396399999999</v>
      </c>
      <c r="AB133" s="1170">
        <f>((SUM(AB132:$AE132))*($L132+$M132))</f>
        <v>1064.3396399999999</v>
      </c>
      <c r="AC133" s="1170">
        <f>((SUM(AC132:$AE132))*($L132+$M132))</f>
        <v>825.83964000000003</v>
      </c>
      <c r="AD133" s="1170">
        <f>((SUM(AD132:$AE132))*($L132+$M132))</f>
        <v>587.33964000000003</v>
      </c>
      <c r="AE133" s="1170">
        <f>((SUM(AE132:$AE132))*($L132+$M132))*7</f>
        <v>2441.8774799999997</v>
      </c>
      <c r="AF133" s="1275">
        <f t="shared" si="3"/>
        <v>12941.964</v>
      </c>
      <c r="AG133" s="83"/>
      <c r="AH133" s="83"/>
    </row>
    <row r="134" spans="1:35" s="42" customFormat="1" ht="12.6" customHeight="1" x14ac:dyDescent="0.25">
      <c r="A134" s="1168">
        <v>54</v>
      </c>
      <c r="B134" s="1523" t="s">
        <v>667</v>
      </c>
      <c r="C134" s="1525" t="s">
        <v>731</v>
      </c>
      <c r="D134" s="1525" t="s">
        <v>732</v>
      </c>
      <c r="E134" s="260">
        <v>44594</v>
      </c>
      <c r="F134" s="1527">
        <v>44781</v>
      </c>
      <c r="G134" s="1529" t="s">
        <v>1610</v>
      </c>
      <c r="H134" s="182"/>
      <c r="I134" s="1531">
        <v>39831</v>
      </c>
      <c r="J134" s="364"/>
      <c r="K134" s="362" t="s">
        <v>126</v>
      </c>
      <c r="L134" s="58">
        <f>$L$7</f>
        <v>1.6580000000000001E-2</v>
      </c>
      <c r="M134" s="39">
        <f>$M$7</f>
        <v>2.5000000000000001E-3</v>
      </c>
      <c r="N134" s="35"/>
      <c r="O134" s="59"/>
      <c r="P134" s="37"/>
      <c r="Q134" s="25"/>
      <c r="R134" s="390"/>
      <c r="S134" s="49" t="s">
        <v>126</v>
      </c>
      <c r="T134" s="57"/>
      <c r="U134" s="57"/>
      <c r="V134" s="184"/>
      <c r="W134" s="184">
        <v>0</v>
      </c>
      <c r="X134" s="57">
        <v>39831</v>
      </c>
      <c r="Y134" s="57"/>
      <c r="Z134" s="57"/>
      <c r="AA134" s="57"/>
      <c r="AB134" s="57"/>
      <c r="AC134" s="57"/>
      <c r="AD134" s="57"/>
      <c r="AE134" s="184"/>
      <c r="AF134" s="1274">
        <f t="shared" si="3"/>
        <v>39831</v>
      </c>
      <c r="AG134" s="83"/>
      <c r="AH134" s="83"/>
    </row>
    <row r="135" spans="1:35" s="42" customFormat="1" ht="14.4" thickBot="1" x14ac:dyDescent="0.3">
      <c r="A135" s="1169"/>
      <c r="B135" s="1524"/>
      <c r="C135" s="1526"/>
      <c r="D135" s="1526"/>
      <c r="E135" s="40"/>
      <c r="F135" s="1528"/>
      <c r="G135" s="1530"/>
      <c r="H135" s="180"/>
      <c r="I135" s="1532"/>
      <c r="J135" s="365"/>
      <c r="K135" s="363" t="s">
        <v>2</v>
      </c>
      <c r="L135" s="28"/>
      <c r="M135" s="28"/>
      <c r="N135" s="28"/>
      <c r="O135" s="31"/>
      <c r="P135" s="29"/>
      <c r="Q135" s="32"/>
      <c r="R135" s="392"/>
      <c r="S135" s="33" t="s">
        <v>2</v>
      </c>
      <c r="T135" s="34"/>
      <c r="U135" s="34"/>
      <c r="V135" s="34"/>
      <c r="W135" s="1170">
        <v>532.79</v>
      </c>
      <c r="X135" s="1170">
        <f>((SUM(X134:$AE134))*($L134+$M134))</f>
        <v>759.97547999999995</v>
      </c>
      <c r="Y135" s="1170">
        <f>((SUM(Y134:$AE134))*($L134+$M134))</f>
        <v>0</v>
      </c>
      <c r="Z135" s="1170">
        <f>((SUM(Z134:$AE134))*($L134+$M134))</f>
        <v>0</v>
      </c>
      <c r="AA135" s="1170">
        <f>((SUM(AA134:$AE134))*($L134+$M134))</f>
        <v>0</v>
      </c>
      <c r="AB135" s="1170">
        <f>((SUM(AB134:$AE134))*($L134+$M134))</f>
        <v>0</v>
      </c>
      <c r="AC135" s="1170">
        <f>((SUM(AC134:$AE134))*($L134+$M134))</f>
        <v>0</v>
      </c>
      <c r="AD135" s="1170">
        <f>((SUM(AD134:$AE134))*($L134+$M134))</f>
        <v>0</v>
      </c>
      <c r="AE135" s="1170">
        <f>((SUM(AE134:$AE134))*($L134+$M134))*7</f>
        <v>0</v>
      </c>
      <c r="AF135" s="1275">
        <f t="shared" si="3"/>
        <v>759.97547999999995</v>
      </c>
      <c r="AG135" s="83"/>
      <c r="AH135" s="83"/>
    </row>
    <row r="136" spans="1:35" s="42" customFormat="1" ht="12.6" customHeight="1" x14ac:dyDescent="0.25">
      <c r="A136" s="1168">
        <v>55</v>
      </c>
      <c r="B136" s="1523" t="s">
        <v>1420</v>
      </c>
      <c r="C136" s="1525" t="s">
        <v>1421</v>
      </c>
      <c r="D136" s="1525" t="s">
        <v>1422</v>
      </c>
      <c r="E136" s="260">
        <v>44594</v>
      </c>
      <c r="F136" s="1527">
        <v>44894</v>
      </c>
      <c r="G136" s="1529" t="s">
        <v>1423</v>
      </c>
      <c r="H136" s="182"/>
      <c r="I136" s="1531">
        <v>503660</v>
      </c>
      <c r="J136" s="364"/>
      <c r="K136" s="362" t="s">
        <v>126</v>
      </c>
      <c r="L136" s="58">
        <f>$L$7</f>
        <v>1.6580000000000001E-2</v>
      </c>
      <c r="M136" s="39">
        <f>$M$7</f>
        <v>2.5000000000000001E-3</v>
      </c>
      <c r="N136" s="35"/>
      <c r="O136" s="59"/>
      <c r="P136" s="37"/>
      <c r="Q136" s="25"/>
      <c r="R136" s="390"/>
      <c r="S136" s="49" t="s">
        <v>126</v>
      </c>
      <c r="T136" s="57"/>
      <c r="U136" s="57"/>
      <c r="V136" s="184">
        <v>0</v>
      </c>
      <c r="W136" s="184">
        <v>0</v>
      </c>
      <c r="X136" s="57">
        <v>8788</v>
      </c>
      <c r="Y136" s="57">
        <v>35348</v>
      </c>
      <c r="Z136" s="57">
        <v>35348</v>
      </c>
      <c r="AA136" s="57">
        <v>35348</v>
      </c>
      <c r="AB136" s="57">
        <v>35348</v>
      </c>
      <c r="AC136" s="57">
        <v>35348</v>
      </c>
      <c r="AD136" s="57">
        <v>35348</v>
      </c>
      <c r="AE136" s="184">
        <v>282784</v>
      </c>
      <c r="AF136" s="1274">
        <f t="shared" si="3"/>
        <v>503660</v>
      </c>
      <c r="AG136" s="83"/>
      <c r="AH136" s="83"/>
    </row>
    <row r="137" spans="1:35" s="42" customFormat="1" ht="14.4" thickBot="1" x14ac:dyDescent="0.3">
      <c r="A137" s="1169"/>
      <c r="B137" s="1524"/>
      <c r="C137" s="1526"/>
      <c r="D137" s="1526"/>
      <c r="E137" s="40"/>
      <c r="F137" s="1528"/>
      <c r="G137" s="1530"/>
      <c r="H137" s="180"/>
      <c r="I137" s="1532"/>
      <c r="J137" s="365"/>
      <c r="K137" s="363" t="s">
        <v>2</v>
      </c>
      <c r="L137" s="28"/>
      <c r="M137" s="28"/>
      <c r="N137" s="28"/>
      <c r="O137" s="31"/>
      <c r="P137" s="29"/>
      <c r="Q137" s="32"/>
      <c r="R137" s="392"/>
      <c r="S137" s="33" t="s">
        <v>2</v>
      </c>
      <c r="T137" s="34"/>
      <c r="U137" s="34"/>
      <c r="V137" s="34"/>
      <c r="W137" s="1170"/>
      <c r="X137" s="1170">
        <f>((SUM(X136:$AE136))*($L136+$M136))</f>
        <v>9609.8328000000001</v>
      </c>
      <c r="Y137" s="1170">
        <f>((SUM(Y136:$AE136))*($L136+$M136))</f>
        <v>9442.1577600000001</v>
      </c>
      <c r="Z137" s="1170">
        <f>((SUM(Z136:$AE136))*($L136+$M136))</f>
        <v>8767.7179199999991</v>
      </c>
      <c r="AA137" s="1170">
        <f>((SUM(AA136:$AE136))*($L136+$M136))</f>
        <v>8093.27808</v>
      </c>
      <c r="AB137" s="1170">
        <f>((SUM(AB136:$AE136))*($L136+$M136))</f>
        <v>7418.83824</v>
      </c>
      <c r="AC137" s="1170">
        <f>((SUM(AC136:$AE136))*($L136+$M136))</f>
        <v>6744.3984</v>
      </c>
      <c r="AD137" s="1170">
        <f>((SUM(AD136:$AE136))*($L136+$M136))</f>
        <v>6069.95856</v>
      </c>
      <c r="AE137" s="1170">
        <f>((SUM(AE136:$AE136))*($L136+$M136))*7</f>
        <v>37768.63104</v>
      </c>
      <c r="AF137" s="1275">
        <f t="shared" si="3"/>
        <v>93914.812799999985</v>
      </c>
      <c r="AG137" s="83"/>
      <c r="AH137" s="83"/>
    </row>
    <row r="138" spans="1:35" s="42" customFormat="1" ht="12.6" customHeight="1" x14ac:dyDescent="0.25">
      <c r="A138" s="1168">
        <v>56</v>
      </c>
      <c r="B138" s="1523" t="s">
        <v>1424</v>
      </c>
      <c r="C138" s="1525" t="s">
        <v>1425</v>
      </c>
      <c r="D138" s="1525" t="s">
        <v>1426</v>
      </c>
      <c r="E138" s="260">
        <v>44594</v>
      </c>
      <c r="F138" s="1527">
        <v>44894</v>
      </c>
      <c r="G138" s="1529" t="s">
        <v>1427</v>
      </c>
      <c r="H138" s="182"/>
      <c r="I138" s="1531">
        <v>300000</v>
      </c>
      <c r="J138" s="364"/>
      <c r="K138" s="362" t="s">
        <v>126</v>
      </c>
      <c r="L138" s="58">
        <f>$L$7</f>
        <v>1.6580000000000001E-2</v>
      </c>
      <c r="M138" s="39">
        <f>$M$7</f>
        <v>2.5000000000000001E-3</v>
      </c>
      <c r="N138" s="35"/>
      <c r="O138" s="59"/>
      <c r="P138" s="37"/>
      <c r="Q138" s="25"/>
      <c r="R138" s="390"/>
      <c r="S138" s="49" t="s">
        <v>126</v>
      </c>
      <c r="T138" s="57"/>
      <c r="U138" s="57"/>
      <c r="V138" s="184">
        <v>0</v>
      </c>
      <c r="W138" s="184">
        <v>0</v>
      </c>
      <c r="X138" s="57">
        <v>8076</v>
      </c>
      <c r="Y138" s="57">
        <v>32436</v>
      </c>
      <c r="Z138" s="57">
        <v>32436</v>
      </c>
      <c r="AA138" s="57">
        <v>32436</v>
      </c>
      <c r="AB138" s="57">
        <v>32436</v>
      </c>
      <c r="AC138" s="57">
        <v>32436</v>
      </c>
      <c r="AD138" s="57">
        <v>32436</v>
      </c>
      <c r="AE138" s="184">
        <v>97308</v>
      </c>
      <c r="AF138" s="1274">
        <f t="shared" si="3"/>
        <v>300000</v>
      </c>
      <c r="AG138" s="83"/>
      <c r="AH138" s="83"/>
    </row>
    <row r="139" spans="1:35" s="42" customFormat="1" ht="14.4" thickBot="1" x14ac:dyDescent="0.3">
      <c r="A139" s="1169"/>
      <c r="B139" s="1524"/>
      <c r="C139" s="1526"/>
      <c r="D139" s="1526"/>
      <c r="E139" s="40"/>
      <c r="F139" s="1528"/>
      <c r="G139" s="1530"/>
      <c r="H139" s="180"/>
      <c r="I139" s="1532"/>
      <c r="J139" s="365"/>
      <c r="K139" s="363" t="s">
        <v>2</v>
      </c>
      <c r="L139" s="28"/>
      <c r="M139" s="28"/>
      <c r="N139" s="28"/>
      <c r="O139" s="31"/>
      <c r="P139" s="29"/>
      <c r="Q139" s="32"/>
      <c r="R139" s="392"/>
      <c r="S139" s="33" t="s">
        <v>2</v>
      </c>
      <c r="T139" s="34"/>
      <c r="U139" s="34"/>
      <c r="V139" s="34"/>
      <c r="W139" s="1170"/>
      <c r="X139" s="1170">
        <f>((SUM(X138:$AE138))*($L138+$M138))</f>
        <v>5724</v>
      </c>
      <c r="Y139" s="1170">
        <f>((SUM(Y138:$AE138))*($L138+$M138))</f>
        <v>5569.9099200000001</v>
      </c>
      <c r="Z139" s="1170">
        <f>((SUM(Z138:$AE138))*($L138+$M138))</f>
        <v>4951.0310399999998</v>
      </c>
      <c r="AA139" s="1170">
        <f>((SUM(AA138:$AE138))*($L138+$M138))</f>
        <v>4332.1521599999996</v>
      </c>
      <c r="AB139" s="1170">
        <f>((SUM(AB138:$AE138))*($L138+$M138))</f>
        <v>3713.2732799999999</v>
      </c>
      <c r="AC139" s="1170">
        <f>((SUM(AC138:$AE138))*($L138+$M138))</f>
        <v>3094.3944000000001</v>
      </c>
      <c r="AD139" s="1170">
        <f>((SUM(AD138:$AE138))*($L138+$M138))</f>
        <v>2475.5155199999999</v>
      </c>
      <c r="AE139" s="1170">
        <f>((SUM(AE138:$AE138))*($L138+$M138))*2</f>
        <v>3713.2732799999999</v>
      </c>
      <c r="AF139" s="1275">
        <f t="shared" si="3"/>
        <v>33573.549599999998</v>
      </c>
      <c r="AG139" s="83"/>
      <c r="AH139" s="83"/>
    </row>
    <row r="140" spans="1:35" s="42" customFormat="1" ht="14.4" outlineLevel="1" x14ac:dyDescent="0.3">
      <c r="A140" s="371"/>
      <c r="B140" s="64"/>
      <c r="C140" s="65"/>
      <c r="D140" s="65"/>
      <c r="E140" s="66"/>
      <c r="F140" s="66"/>
      <c r="G140" s="65"/>
      <c r="H140" s="385"/>
      <c r="I140" s="386"/>
      <c r="J140" s="387"/>
      <c r="K140" s="61"/>
      <c r="L140" s="65"/>
      <c r="M140" s="65"/>
      <c r="N140" s="65"/>
      <c r="O140" s="388"/>
      <c r="P140" s="61"/>
      <c r="Q140" s="63"/>
      <c r="R140" s="63"/>
      <c r="S140" s="66" t="s">
        <v>1156</v>
      </c>
      <c r="T140" s="69"/>
      <c r="U140" s="1266">
        <f t="shared" ref="U140:W140" si="4">SUM(U10:U139)</f>
        <v>1369725.3362392264</v>
      </c>
      <c r="V140" s="1266">
        <f t="shared" si="4"/>
        <v>4080093.6945923315</v>
      </c>
      <c r="W140" s="1266">
        <f t="shared" si="4"/>
        <v>3717826.1010774849</v>
      </c>
      <c r="X140" s="1262">
        <f>SUM(X10:X139)</f>
        <v>4649229.3018702939</v>
      </c>
      <c r="Y140" s="1262">
        <f t="shared" ref="Y140:AF140" si="5">SUM(Y10:Y139)</f>
        <v>4372126.004747685</v>
      </c>
      <c r="Z140" s="1262">
        <f t="shared" si="5"/>
        <v>4233795.4482220784</v>
      </c>
      <c r="AA140" s="1262">
        <f t="shared" si="5"/>
        <v>4120875.6957067689</v>
      </c>
      <c r="AB140" s="1262">
        <f t="shared" si="5"/>
        <v>3914701.1121911616</v>
      </c>
      <c r="AC140" s="1262">
        <f t="shared" si="5"/>
        <v>3798216.2079555537</v>
      </c>
      <c r="AD140" s="1262">
        <f t="shared" si="5"/>
        <v>3674812.8985699438</v>
      </c>
      <c r="AE140" s="1262">
        <f t="shared" si="5"/>
        <v>40440958.327686444</v>
      </c>
      <c r="AF140" s="1262">
        <f t="shared" si="5"/>
        <v>69204714.996949941</v>
      </c>
      <c r="AG140" s="84"/>
      <c r="AH140" s="83"/>
    </row>
    <row r="141" spans="1:35" ht="13.8" thickBot="1" x14ac:dyDescent="0.3">
      <c r="H141" s="1181"/>
      <c r="I141" s="1182"/>
      <c r="J141" s="1181"/>
      <c r="K141" s="1182"/>
      <c r="O141" s="1183"/>
      <c r="P141" s="1182"/>
      <c r="X141" s="93"/>
      <c r="Y141" s="93"/>
      <c r="Z141" s="93"/>
      <c r="AA141" s="93"/>
      <c r="AB141" s="93"/>
      <c r="AC141" s="93"/>
      <c r="AD141" s="93"/>
      <c r="AE141" s="93"/>
      <c r="AF141" s="93"/>
      <c r="AH141" s="83" t="s">
        <v>1531</v>
      </c>
    </row>
    <row r="142" spans="1:35" s="42" customFormat="1" ht="13.95" customHeight="1" outlineLevel="1" x14ac:dyDescent="0.2">
      <c r="A142" s="371"/>
      <c r="B142" s="1225" t="s">
        <v>516</v>
      </c>
      <c r="C142" s="1226"/>
      <c r="D142" s="1227"/>
      <c r="E142" s="1228"/>
      <c r="F142" s="1225" t="s">
        <v>231</v>
      </c>
      <c r="G142" s="1225"/>
      <c r="H142" s="1229"/>
      <c r="I142" s="1230"/>
      <c r="J142" s="67"/>
      <c r="K142" s="68"/>
      <c r="L142" s="1230"/>
      <c r="M142" s="1230"/>
      <c r="N142" s="1230"/>
      <c r="O142" s="1230"/>
      <c r="P142" s="1230"/>
      <c r="Q142" s="1230">
        <f t="shared" ref="Q142:R142" si="6">SUM(Q10:Q141)</f>
        <v>9816171</v>
      </c>
      <c r="R142" s="1230">
        <f t="shared" si="6"/>
        <v>9638788</v>
      </c>
      <c r="S142" s="1248" t="s">
        <v>126</v>
      </c>
      <c r="T142" s="270"/>
      <c r="U142" s="1184">
        <f t="shared" ref="U142:AE143" si="7">SUMIF($S$10:$S$69,$S142,U$10:U$69)</f>
        <v>1100521.7431783541</v>
      </c>
      <c r="V142" s="1184">
        <f t="shared" si="7"/>
        <v>2313981.0731783542</v>
      </c>
      <c r="W142" s="1184">
        <f t="shared" si="7"/>
        <v>1761953.5999999999</v>
      </c>
      <c r="X142" s="1249">
        <f t="shared" si="7"/>
        <v>1831719.1379218104</v>
      </c>
      <c r="Y142" s="1184">
        <f t="shared" si="7"/>
        <v>1813667.8379218103</v>
      </c>
      <c r="Z142" s="1184">
        <f t="shared" si="7"/>
        <v>1804908.1679218104</v>
      </c>
      <c r="AA142" s="1184">
        <f t="shared" si="7"/>
        <v>1782158.8379218101</v>
      </c>
      <c r="AB142" s="1184">
        <f t="shared" si="7"/>
        <v>1736214.8379218103</v>
      </c>
      <c r="AC142" s="1184">
        <f t="shared" si="7"/>
        <v>1692649.8379218103</v>
      </c>
      <c r="AD142" s="1184">
        <f t="shared" si="7"/>
        <v>1663423.8379218103</v>
      </c>
      <c r="AE142" s="1184">
        <f t="shared" si="7"/>
        <v>12947279.718703706</v>
      </c>
      <c r="AF142" s="1184">
        <f>SUM(X142:AE142)</f>
        <v>25272022.214156378</v>
      </c>
      <c r="AH142" s="1184">
        <v>25272022.214156378</v>
      </c>
      <c r="AI142" s="1309">
        <f>AF142-AH142</f>
        <v>0</v>
      </c>
    </row>
    <row r="143" spans="1:35" s="42" customFormat="1" ht="13.95" customHeight="1" outlineLevel="1" thickBot="1" x14ac:dyDescent="0.25">
      <c r="A143" s="371"/>
      <c r="B143" s="1231"/>
      <c r="C143" s="1232"/>
      <c r="D143" s="1233"/>
      <c r="E143" s="1234"/>
      <c r="F143" s="1235" t="s">
        <v>1518</v>
      </c>
      <c r="G143" s="1236"/>
      <c r="H143" s="1237"/>
      <c r="I143" s="1238"/>
      <c r="J143" s="1200"/>
      <c r="K143" s="1201"/>
      <c r="L143" s="1238"/>
      <c r="M143" s="1238"/>
      <c r="N143" s="1238"/>
      <c r="O143" s="1238"/>
      <c r="P143" s="1238"/>
      <c r="Q143" s="1238"/>
      <c r="R143" s="1238"/>
      <c r="S143" s="1238" t="s">
        <v>2</v>
      </c>
      <c r="T143" s="1202"/>
      <c r="U143" s="1203">
        <f t="shared" si="7"/>
        <v>269203.59306087194</v>
      </c>
      <c r="V143" s="1203">
        <f t="shared" si="7"/>
        <v>493260.21641397773</v>
      </c>
      <c r="W143" s="1203">
        <f t="shared" si="7"/>
        <v>517432.22777248354</v>
      </c>
      <c r="X143" s="1250">
        <f t="shared" si="7"/>
        <v>503393.41598848347</v>
      </c>
      <c r="Y143" s="1203">
        <f t="shared" si="7"/>
        <v>466795.28154587554</v>
      </c>
      <c r="Z143" s="1203">
        <f t="shared" si="7"/>
        <v>430527.26238026732</v>
      </c>
      <c r="AA143" s="1203">
        <f t="shared" si="7"/>
        <v>394435.22498495888</v>
      </c>
      <c r="AB143" s="1203">
        <f t="shared" si="7"/>
        <v>358799.96594935097</v>
      </c>
      <c r="AC143" s="1203">
        <f t="shared" si="7"/>
        <v>324087.72187374264</v>
      </c>
      <c r="AD143" s="1203">
        <f t="shared" si="7"/>
        <v>290250.6986481346</v>
      </c>
      <c r="AE143" s="1203">
        <f t="shared" si="7"/>
        <v>3460738.7371507417</v>
      </c>
      <c r="AF143" s="1203">
        <f>SUM(X143:AE143)</f>
        <v>6229028.3085215557</v>
      </c>
      <c r="AH143" s="1203">
        <v>6329408.1099951668</v>
      </c>
      <c r="AI143" s="1309">
        <f t="shared" ref="AI143:AI152" si="8">AF143-AH143</f>
        <v>-100379.80147361103</v>
      </c>
    </row>
    <row r="144" spans="1:35" s="42" customFormat="1" ht="13.95" customHeight="1" outlineLevel="1" thickTop="1" x14ac:dyDescent="0.2">
      <c r="A144" s="371"/>
      <c r="B144" s="1239"/>
      <c r="C144" s="1226"/>
      <c r="D144" s="1227"/>
      <c r="E144" s="1228"/>
      <c r="F144" s="1225" t="s">
        <v>512</v>
      </c>
      <c r="G144" s="1225"/>
      <c r="H144" s="1229"/>
      <c r="I144" s="1230"/>
      <c r="J144" s="67"/>
      <c r="K144" s="68"/>
      <c r="L144" s="1230"/>
      <c r="M144" s="1230"/>
      <c r="N144" s="1230"/>
      <c r="O144" s="1230"/>
      <c r="P144" s="1230"/>
      <c r="Q144" s="1230"/>
      <c r="R144" s="1230"/>
      <c r="S144" s="1230"/>
      <c r="T144" s="270"/>
      <c r="U144" s="1184">
        <f>SUM(U142:U143)</f>
        <v>1369725.3362392262</v>
      </c>
      <c r="V144" s="1184">
        <f t="shared" ref="V144:AE144" si="9">SUM(V142:V143)</f>
        <v>2807241.2895923317</v>
      </c>
      <c r="W144" s="1184">
        <f t="shared" si="9"/>
        <v>2279385.8277724832</v>
      </c>
      <c r="X144" s="1251">
        <f t="shared" si="9"/>
        <v>2335112.5539102936</v>
      </c>
      <c r="Y144" s="1184">
        <f t="shared" si="9"/>
        <v>2280463.1194676859</v>
      </c>
      <c r="Z144" s="1184">
        <f t="shared" si="9"/>
        <v>2235435.4303020779</v>
      </c>
      <c r="AA144" s="1184">
        <f t="shared" si="9"/>
        <v>2176594.0629067691</v>
      </c>
      <c r="AB144" s="1184">
        <f t="shared" si="9"/>
        <v>2095014.8038711613</v>
      </c>
      <c r="AC144" s="1184">
        <f t="shared" si="9"/>
        <v>2016737.5597955529</v>
      </c>
      <c r="AD144" s="1184">
        <f t="shared" si="9"/>
        <v>1953674.536569945</v>
      </c>
      <c r="AE144" s="1184">
        <f t="shared" si="9"/>
        <v>16408018.455854448</v>
      </c>
      <c r="AF144" s="1184">
        <f>SUM(X144:AE144)</f>
        <v>31501050.522677936</v>
      </c>
      <c r="AH144" s="1184">
        <v>31601430.324151546</v>
      </c>
      <c r="AI144" s="1309">
        <f t="shared" si="8"/>
        <v>-100379.8014736101</v>
      </c>
    </row>
    <row r="145" spans="1:35" s="42" customFormat="1" ht="5.25" customHeight="1" outlineLevel="1" x14ac:dyDescent="0.2">
      <c r="A145" s="371"/>
      <c r="B145" s="13"/>
      <c r="C145" s="64"/>
      <c r="D145" s="65"/>
      <c r="E145" s="190"/>
      <c r="F145" s="84"/>
      <c r="G145" s="84"/>
      <c r="H145" s="1213"/>
      <c r="I145" s="61"/>
      <c r="J145" s="1213"/>
      <c r="K145" s="61"/>
      <c r="L145" s="61"/>
      <c r="M145" s="61"/>
      <c r="N145" s="61"/>
      <c r="O145" s="61"/>
      <c r="P145" s="61"/>
      <c r="Q145" s="61"/>
      <c r="R145" s="61"/>
      <c r="S145" s="61"/>
      <c r="T145" s="270"/>
      <c r="U145" s="69"/>
      <c r="V145" s="69"/>
      <c r="W145" s="69"/>
      <c r="X145" s="1252"/>
      <c r="Y145" s="1241"/>
      <c r="Z145" s="1241"/>
      <c r="AA145" s="1241"/>
      <c r="AB145" s="1241"/>
      <c r="AC145" s="1241"/>
      <c r="AD145" s="1241"/>
      <c r="AE145" s="1241"/>
      <c r="AF145" s="1241"/>
      <c r="AH145" s="1241"/>
      <c r="AI145" s="1309">
        <f t="shared" si="8"/>
        <v>0</v>
      </c>
    </row>
    <row r="146" spans="1:35" s="42" customFormat="1" ht="13.95" customHeight="1" outlineLevel="1" x14ac:dyDescent="0.2">
      <c r="A146" s="371"/>
      <c r="B146" s="1185" t="s">
        <v>388</v>
      </c>
      <c r="C146" s="1186"/>
      <c r="D146" s="1187"/>
      <c r="E146" s="1188"/>
      <c r="F146" s="1185" t="s">
        <v>231</v>
      </c>
      <c r="G146" s="1185"/>
      <c r="H146" s="1189"/>
      <c r="I146" s="1190"/>
      <c r="J146" s="67"/>
      <c r="K146" s="68"/>
      <c r="L146" s="1190"/>
      <c r="M146" s="1190"/>
      <c r="N146" s="1190"/>
      <c r="O146" s="1190"/>
      <c r="P146" s="1190"/>
      <c r="Q146" s="1190">
        <f>SUM(Q11:Q142)</f>
        <v>17549429</v>
      </c>
      <c r="R146" s="1190">
        <f>SUM(R11:R142)</f>
        <v>17211737</v>
      </c>
      <c r="S146" s="1190" t="s">
        <v>126</v>
      </c>
      <c r="T146" s="270"/>
      <c r="U146" s="1191"/>
      <c r="V146" s="1191">
        <f>SUMIF($S$70:$S$139,$S146,V$70:V$139)</f>
        <v>1233073.6299999999</v>
      </c>
      <c r="W146" s="1191">
        <f t="shared" ref="W146:AE147" si="10">SUMIF($S$70:$S$139,$S146,W$70:W$139)</f>
        <v>1362540</v>
      </c>
      <c r="X146" s="1253">
        <f t="shared" si="10"/>
        <v>1770171</v>
      </c>
      <c r="Y146" s="1191">
        <f t="shared" si="10"/>
        <v>1581492</v>
      </c>
      <c r="Z146" s="1191">
        <f t="shared" si="10"/>
        <v>1518364</v>
      </c>
      <c r="AA146" s="1191">
        <f t="shared" si="10"/>
        <v>1493256</v>
      </c>
      <c r="AB146" s="1191">
        <f t="shared" si="10"/>
        <v>1397152</v>
      </c>
      <c r="AC146" s="1191">
        <f t="shared" si="10"/>
        <v>1385602</v>
      </c>
      <c r="AD146" s="1191">
        <f t="shared" si="10"/>
        <v>1351699</v>
      </c>
      <c r="AE146" s="1191">
        <f t="shared" si="10"/>
        <v>18010951</v>
      </c>
      <c r="AF146" s="1191">
        <f>SUM(X146:AE146)</f>
        <v>28508687</v>
      </c>
      <c r="AH146" s="1191">
        <v>28671572</v>
      </c>
      <c r="AI146" s="1309">
        <f t="shared" si="8"/>
        <v>-162885</v>
      </c>
    </row>
    <row r="147" spans="1:35" s="42" customFormat="1" ht="13.95" customHeight="1" outlineLevel="1" thickBot="1" x14ac:dyDescent="0.25">
      <c r="A147" s="371"/>
      <c r="B147" s="1204"/>
      <c r="C147" s="1205"/>
      <c r="D147" s="1206"/>
      <c r="E147" s="1207"/>
      <c r="F147" s="1208" t="s">
        <v>1518</v>
      </c>
      <c r="G147" s="1209"/>
      <c r="H147" s="1210"/>
      <c r="I147" s="1211"/>
      <c r="J147" s="1200"/>
      <c r="K147" s="1201"/>
      <c r="L147" s="1211"/>
      <c r="M147" s="1211"/>
      <c r="N147" s="1211"/>
      <c r="O147" s="1211"/>
      <c r="P147" s="1211"/>
      <c r="Q147" s="1211"/>
      <c r="R147" s="1211"/>
      <c r="S147" s="1211" t="s">
        <v>2</v>
      </c>
      <c r="T147" s="1202"/>
      <c r="U147" s="1212"/>
      <c r="V147" s="1212">
        <f>SUMIF($S$70:$S$139,$S147,V$70:V$139)</f>
        <v>39778.774999999994</v>
      </c>
      <c r="W147" s="1212">
        <f t="shared" si="10"/>
        <v>75900.273305000024</v>
      </c>
      <c r="X147" s="1254">
        <f t="shared" si="10"/>
        <v>543945.74796000007</v>
      </c>
      <c r="Y147" s="1212">
        <f t="shared" si="10"/>
        <v>510170.88527999999</v>
      </c>
      <c r="Z147" s="1212">
        <f t="shared" si="10"/>
        <v>479996.01791999995</v>
      </c>
      <c r="AA147" s="1212">
        <f t="shared" si="10"/>
        <v>451025.63280000002</v>
      </c>
      <c r="AB147" s="1212">
        <f t="shared" si="10"/>
        <v>422534.30832000007</v>
      </c>
      <c r="AC147" s="1212">
        <f t="shared" si="10"/>
        <v>395876.64815999992</v>
      </c>
      <c r="AD147" s="1212">
        <f t="shared" si="10"/>
        <v>369439.36200000002</v>
      </c>
      <c r="AE147" s="1212">
        <f t="shared" si="10"/>
        <v>6021988.871832002</v>
      </c>
      <c r="AF147" s="1212">
        <f>SUM(X147:AE147)</f>
        <v>9194977.4742720015</v>
      </c>
      <c r="AH147" s="1212">
        <v>9441833.6928719971</v>
      </c>
      <c r="AI147" s="1309">
        <f t="shared" si="8"/>
        <v>-246856.2185999956</v>
      </c>
    </row>
    <row r="148" spans="1:35" s="42" customFormat="1" ht="13.95" customHeight="1" outlineLevel="1" thickTop="1" x14ac:dyDescent="0.2">
      <c r="A148" s="371"/>
      <c r="B148" s="384"/>
      <c r="C148" s="1186"/>
      <c r="D148" s="1187"/>
      <c r="E148" s="1188"/>
      <c r="F148" s="1185" t="s">
        <v>512</v>
      </c>
      <c r="G148" s="1185"/>
      <c r="H148" s="1189"/>
      <c r="I148" s="1190"/>
      <c r="J148" s="67"/>
      <c r="K148" s="68"/>
      <c r="L148" s="1190"/>
      <c r="M148" s="1190"/>
      <c r="N148" s="1190"/>
      <c r="O148" s="1190"/>
      <c r="P148" s="1190"/>
      <c r="Q148" s="1190"/>
      <c r="R148" s="1190"/>
      <c r="S148" s="1190"/>
      <c r="T148" s="270"/>
      <c r="U148" s="1191"/>
      <c r="V148" s="1191">
        <f>SUM(V146:V147)</f>
        <v>1272852.4049999998</v>
      </c>
      <c r="W148" s="1191">
        <f t="shared" ref="W148:AE148" si="11">SUM(W146:W147)</f>
        <v>1438440.273305</v>
      </c>
      <c r="X148" s="1253">
        <f t="shared" si="11"/>
        <v>2314116.7479600003</v>
      </c>
      <c r="Y148" s="1191">
        <f t="shared" si="11"/>
        <v>2091662.88528</v>
      </c>
      <c r="Z148" s="1191">
        <f t="shared" si="11"/>
        <v>1998360.01792</v>
      </c>
      <c r="AA148" s="1191">
        <f t="shared" si="11"/>
        <v>1944281.6328</v>
      </c>
      <c r="AB148" s="1191">
        <f t="shared" si="11"/>
        <v>1819686.3083200001</v>
      </c>
      <c r="AC148" s="1191">
        <f t="shared" si="11"/>
        <v>1781478.6481599999</v>
      </c>
      <c r="AD148" s="1191">
        <f t="shared" si="11"/>
        <v>1721138.362</v>
      </c>
      <c r="AE148" s="1191">
        <f t="shared" si="11"/>
        <v>24032939.871832002</v>
      </c>
      <c r="AF148" s="1191">
        <f>SUM(X148:AE148)</f>
        <v>37703664.474271998</v>
      </c>
      <c r="AH148" s="1191">
        <v>38113405.692871995</v>
      </c>
      <c r="AI148" s="1309">
        <f t="shared" si="8"/>
        <v>-409741.21859999746</v>
      </c>
    </row>
    <row r="149" spans="1:35" s="42" customFormat="1" ht="7.5" customHeight="1" outlineLevel="1" x14ac:dyDescent="0.2">
      <c r="A149" s="371"/>
      <c r="B149" s="13"/>
      <c r="C149" s="64"/>
      <c r="D149" s="65"/>
      <c r="E149" s="190"/>
      <c r="F149" s="84"/>
      <c r="G149" s="84"/>
      <c r="H149" s="1213"/>
      <c r="I149" s="61"/>
      <c r="J149" s="1213"/>
      <c r="K149" s="61"/>
      <c r="L149" s="61"/>
      <c r="M149" s="61"/>
      <c r="N149" s="61"/>
      <c r="O149" s="61"/>
      <c r="P149" s="61"/>
      <c r="Q149" s="61"/>
      <c r="R149" s="61"/>
      <c r="S149" s="61"/>
      <c r="T149" s="270"/>
      <c r="U149" s="69"/>
      <c r="V149" s="69"/>
      <c r="W149" s="69"/>
      <c r="X149" s="1252"/>
      <c r="Y149" s="1241"/>
      <c r="Z149" s="1241"/>
      <c r="AA149" s="1241"/>
      <c r="AB149" s="1241"/>
      <c r="AC149" s="1241"/>
      <c r="AD149" s="1241"/>
      <c r="AE149" s="1241"/>
      <c r="AF149" s="1241"/>
      <c r="AH149" s="1241"/>
      <c r="AI149" s="1309">
        <f t="shared" si="8"/>
        <v>0</v>
      </c>
    </row>
    <row r="150" spans="1:35" s="42" customFormat="1" ht="13.95" customHeight="1" outlineLevel="1" x14ac:dyDescent="0.2">
      <c r="A150" s="371"/>
      <c r="B150" s="1192" t="s">
        <v>1520</v>
      </c>
      <c r="C150" s="1193"/>
      <c r="D150" s="1194"/>
      <c r="E150" s="1195"/>
      <c r="F150" s="1192" t="s">
        <v>231</v>
      </c>
      <c r="G150" s="1192"/>
      <c r="H150" s="1196"/>
      <c r="I150" s="1197"/>
      <c r="J150" s="67"/>
      <c r="K150" s="68"/>
      <c r="L150" s="1197"/>
      <c r="M150" s="1197"/>
      <c r="N150" s="1197"/>
      <c r="O150" s="1197"/>
      <c r="P150" s="1197"/>
      <c r="Q150" s="1197"/>
      <c r="R150" s="1197"/>
      <c r="S150" s="1197" t="s">
        <v>126</v>
      </c>
      <c r="T150" s="270"/>
      <c r="U150" s="1223">
        <f>SUM(U142,U146)</f>
        <v>1100521.7431783541</v>
      </c>
      <c r="V150" s="1223">
        <f t="shared" ref="V150:AF150" si="12">SUM(V142,V146)</f>
        <v>3547054.7031783541</v>
      </c>
      <c r="W150" s="1223">
        <f t="shared" si="12"/>
        <v>3124493.5999999996</v>
      </c>
      <c r="X150" s="1255">
        <f t="shared" si="12"/>
        <v>3601890.1379218102</v>
      </c>
      <c r="Y150" s="1223">
        <f t="shared" si="12"/>
        <v>3395159.8379218103</v>
      </c>
      <c r="Z150" s="1223">
        <f t="shared" si="12"/>
        <v>3323272.1679218104</v>
      </c>
      <c r="AA150" s="1223">
        <f t="shared" si="12"/>
        <v>3275414.8379218103</v>
      </c>
      <c r="AB150" s="1223">
        <f t="shared" si="12"/>
        <v>3133366.8379218103</v>
      </c>
      <c r="AC150" s="1223">
        <f t="shared" si="12"/>
        <v>3078251.8379218103</v>
      </c>
      <c r="AD150" s="1223">
        <f t="shared" si="12"/>
        <v>3015122.8379218103</v>
      </c>
      <c r="AE150" s="1223">
        <f t="shared" si="12"/>
        <v>30958230.718703706</v>
      </c>
      <c r="AF150" s="1223">
        <f t="shared" si="12"/>
        <v>53780709.214156374</v>
      </c>
      <c r="AH150" s="1223">
        <v>53943594.214156374</v>
      </c>
      <c r="AI150" s="1309">
        <f t="shared" si="8"/>
        <v>-162885</v>
      </c>
    </row>
    <row r="151" spans="1:35" s="42" customFormat="1" ht="13.95" customHeight="1" outlineLevel="1" thickBot="1" x14ac:dyDescent="0.25">
      <c r="A151" s="371"/>
      <c r="B151" s="1215"/>
      <c r="C151" s="1216"/>
      <c r="D151" s="1217"/>
      <c r="E151" s="1218"/>
      <c r="F151" s="1214" t="s">
        <v>1518</v>
      </c>
      <c r="G151" s="1219"/>
      <c r="H151" s="1220"/>
      <c r="I151" s="1221"/>
      <c r="J151" s="1200"/>
      <c r="K151" s="1201"/>
      <c r="L151" s="1221"/>
      <c r="M151" s="1221"/>
      <c r="N151" s="1221"/>
      <c r="O151" s="1221"/>
      <c r="P151" s="1221"/>
      <c r="Q151" s="1221">
        <f>SUM(Q12:Q146)</f>
        <v>35098858</v>
      </c>
      <c r="R151" s="1221">
        <f>SUM(R12:R146)</f>
        <v>34423474</v>
      </c>
      <c r="S151" s="1221" t="s">
        <v>2</v>
      </c>
      <c r="T151" s="1202"/>
      <c r="U151" s="1224">
        <f>SUM(U143,U147)</f>
        <v>269203.59306087194</v>
      </c>
      <c r="V151" s="1224">
        <f t="shared" ref="V151:AF151" si="13">SUM(V143,V147)</f>
        <v>533038.9914139777</v>
      </c>
      <c r="W151" s="1224">
        <f t="shared" si="13"/>
        <v>593332.50107748352</v>
      </c>
      <c r="X151" s="1256">
        <f t="shared" si="13"/>
        <v>1047339.1639484835</v>
      </c>
      <c r="Y151" s="1224">
        <f t="shared" si="13"/>
        <v>976966.16682587552</v>
      </c>
      <c r="Z151" s="1224">
        <f t="shared" si="13"/>
        <v>910523.28030026727</v>
      </c>
      <c r="AA151" s="1224">
        <f t="shared" si="13"/>
        <v>845460.85778495891</v>
      </c>
      <c r="AB151" s="1224">
        <f t="shared" si="13"/>
        <v>781334.27426935104</v>
      </c>
      <c r="AC151" s="1224">
        <f t="shared" si="13"/>
        <v>719964.37003374263</v>
      </c>
      <c r="AD151" s="1224">
        <f t="shared" si="13"/>
        <v>659690.06064813468</v>
      </c>
      <c r="AE151" s="1224">
        <f t="shared" si="13"/>
        <v>9482727.6089827437</v>
      </c>
      <c r="AF151" s="1224">
        <f t="shared" si="13"/>
        <v>15424005.782793557</v>
      </c>
      <c r="AH151" s="1224">
        <v>15771241.802867163</v>
      </c>
      <c r="AI151" s="1309">
        <f t="shared" si="8"/>
        <v>-347236.0200736057</v>
      </c>
    </row>
    <row r="152" spans="1:35" s="42" customFormat="1" ht="13.95" customHeight="1" outlineLevel="1" thickTop="1" thickBot="1" x14ac:dyDescent="0.25">
      <c r="A152" s="371"/>
      <c r="B152" s="1222"/>
      <c r="C152" s="1193"/>
      <c r="D152" s="1194"/>
      <c r="E152" s="1195"/>
      <c r="F152" s="1192" t="s">
        <v>512</v>
      </c>
      <c r="G152" s="1192"/>
      <c r="H152" s="1196"/>
      <c r="I152" s="1197"/>
      <c r="J152" s="67"/>
      <c r="K152" s="68"/>
      <c r="L152" s="1197"/>
      <c r="M152" s="1197"/>
      <c r="N152" s="1197"/>
      <c r="O152" s="1197"/>
      <c r="P152" s="1197"/>
      <c r="Q152" s="1197"/>
      <c r="R152" s="1197"/>
      <c r="S152" s="1197"/>
      <c r="T152" s="270"/>
      <c r="U152" s="1223">
        <f>SUM(U150:U151)</f>
        <v>1369725.3362392262</v>
      </c>
      <c r="V152" s="1223">
        <f t="shared" ref="V152:AF152" si="14">SUM(V150:V151)</f>
        <v>4080093.6945923315</v>
      </c>
      <c r="W152" s="1223">
        <f t="shared" si="14"/>
        <v>3717826.101077483</v>
      </c>
      <c r="X152" s="1257">
        <f t="shared" si="14"/>
        <v>4649229.3018702939</v>
      </c>
      <c r="Y152" s="1223">
        <f t="shared" si="14"/>
        <v>4372126.004747686</v>
      </c>
      <c r="Z152" s="1223">
        <f t="shared" si="14"/>
        <v>4233795.4482220775</v>
      </c>
      <c r="AA152" s="1223">
        <f t="shared" si="14"/>
        <v>4120875.6957067694</v>
      </c>
      <c r="AB152" s="1223">
        <f t="shared" si="14"/>
        <v>3914701.1121911611</v>
      </c>
      <c r="AC152" s="1223">
        <f t="shared" si="14"/>
        <v>3798216.2079555532</v>
      </c>
      <c r="AD152" s="1223">
        <f t="shared" si="14"/>
        <v>3674812.8985699452</v>
      </c>
      <c r="AE152" s="1223">
        <f t="shared" si="14"/>
        <v>40440958.327686451</v>
      </c>
      <c r="AF152" s="1223">
        <f t="shared" si="14"/>
        <v>69204714.996949926</v>
      </c>
      <c r="AH152" s="1223">
        <v>69714836.017023534</v>
      </c>
      <c r="AI152" s="1309">
        <f t="shared" si="8"/>
        <v>-510121.02007360756</v>
      </c>
    </row>
    <row r="153" spans="1:35" s="42" customFormat="1" ht="11.25" customHeight="1" outlineLevel="1" x14ac:dyDescent="0.2">
      <c r="A153" s="371"/>
      <c r="B153" s="64"/>
      <c r="C153" s="64"/>
      <c r="D153" s="65"/>
      <c r="E153" s="190"/>
      <c r="F153" s="66"/>
      <c r="G153" s="65"/>
      <c r="H153" s="67"/>
      <c r="I153" s="68"/>
      <c r="J153" s="67"/>
      <c r="K153" s="68"/>
      <c r="L153" s="65"/>
      <c r="M153" s="65"/>
      <c r="N153" s="65"/>
      <c r="O153" s="191"/>
      <c r="P153" s="192"/>
      <c r="Q153" s="63"/>
      <c r="R153" s="63"/>
      <c r="S153" s="65"/>
      <c r="T153" s="270"/>
      <c r="U153" s="69"/>
      <c r="V153" s="69"/>
      <c r="W153" s="69"/>
      <c r="X153" s="209"/>
      <c r="Y153" s="209"/>
      <c r="Z153" s="209"/>
      <c r="AA153" s="209"/>
      <c r="AB153" s="209"/>
      <c r="AC153" s="209"/>
      <c r="AD153" s="209"/>
      <c r="AE153" s="69"/>
      <c r="AF153" s="69"/>
      <c r="AG153" s="84"/>
      <c r="AH153" s="83"/>
      <c r="AI153" s="1309"/>
    </row>
    <row r="154" spans="1:35" s="42" customFormat="1" ht="11.25" customHeight="1" outlineLevel="1" x14ac:dyDescent="0.2">
      <c r="A154" s="371"/>
      <c r="B154" s="64"/>
      <c r="C154" s="64"/>
      <c r="D154" s="65"/>
      <c r="E154" s="190"/>
      <c r="F154" s="66"/>
      <c r="G154" s="65"/>
      <c r="H154" s="67"/>
      <c r="I154" s="68"/>
      <c r="J154" s="67"/>
      <c r="K154" s="68"/>
      <c r="L154" s="65"/>
      <c r="M154" s="65"/>
      <c r="N154" s="65"/>
      <c r="O154" s="191"/>
      <c r="P154" s="192"/>
      <c r="Q154" s="63"/>
      <c r="R154" s="63"/>
      <c r="S154" s="65"/>
      <c r="T154" s="270"/>
      <c r="U154" s="69"/>
      <c r="V154" s="69"/>
      <c r="W154" s="69"/>
      <c r="X154" s="1311">
        <f>X143/X142</f>
        <v>0.27482019790414591</v>
      </c>
      <c r="Y154" s="1311">
        <f t="shared" ref="Y154:AE154" si="15">Y143/Y142</f>
        <v>0.2573763904203939</v>
      </c>
      <c r="Z154" s="1311">
        <f t="shared" si="15"/>
        <v>0.23853139457836284</v>
      </c>
      <c r="AA154" s="1311">
        <f t="shared" si="15"/>
        <v>0.22132439409548535</v>
      </c>
      <c r="AB154" s="1311">
        <f t="shared" si="15"/>
        <v>0.20665643335868633</v>
      </c>
      <c r="AC154" s="1311">
        <f t="shared" si="15"/>
        <v>0.19146767075678733</v>
      </c>
      <c r="AD154" s="1311">
        <f t="shared" si="15"/>
        <v>0.17448992375314146</v>
      </c>
      <c r="AE154" s="1311">
        <f t="shared" si="15"/>
        <v>0.26729466052636069</v>
      </c>
      <c r="AF154" s="69"/>
      <c r="AG154" s="84"/>
      <c r="AH154" s="83"/>
      <c r="AI154" s="1310"/>
    </row>
    <row r="155" spans="1:35" s="42" customFormat="1" ht="14.4" thickBot="1" x14ac:dyDescent="0.35">
      <c r="A155" s="368" t="s">
        <v>145</v>
      </c>
      <c r="B155" s="64"/>
      <c r="C155" s="64"/>
      <c r="D155" s="65"/>
      <c r="E155" s="190"/>
      <c r="F155" s="66"/>
      <c r="G155" s="65"/>
      <c r="H155" s="67"/>
      <c r="I155" s="68"/>
      <c r="J155" s="67"/>
      <c r="K155" s="68"/>
      <c r="L155" s="65"/>
      <c r="M155" s="65"/>
      <c r="N155" s="65"/>
      <c r="O155" s="191"/>
      <c r="P155" s="192"/>
      <c r="Q155" s="63"/>
      <c r="R155" s="63"/>
      <c r="S155" s="65"/>
      <c r="T155" s="270"/>
      <c r="U155" s="69"/>
      <c r="V155" s="69"/>
      <c r="W155" s="69"/>
      <c r="X155" s="1311">
        <f>X147/X146</f>
        <v>0.30728429511047239</v>
      </c>
      <c r="Y155" s="1311">
        <f t="shared" ref="Y155:AE155" si="16">Y147/Y146</f>
        <v>0.32258834396885977</v>
      </c>
      <c r="Z155" s="1311">
        <f t="shared" si="16"/>
        <v>0.31612710649093362</v>
      </c>
      <c r="AA155" s="1311">
        <f t="shared" si="16"/>
        <v>0.30204173483983993</v>
      </c>
      <c r="AB155" s="1311">
        <f t="shared" si="16"/>
        <v>0.30242543998076094</v>
      </c>
      <c r="AC155" s="1311">
        <f t="shared" si="16"/>
        <v>0.2857073302145926</v>
      </c>
      <c r="AD155" s="1311">
        <f t="shared" si="16"/>
        <v>0.27331481491071608</v>
      </c>
      <c r="AE155" s="1311">
        <f t="shared" si="16"/>
        <v>0.33435152157329184</v>
      </c>
      <c r="AF155" s="69"/>
      <c r="AG155" s="84"/>
      <c r="AH155" s="83"/>
    </row>
    <row r="156" spans="1:35" s="20" customFormat="1" ht="52.5" customHeight="1" thickBot="1" x14ac:dyDescent="0.3">
      <c r="A156" s="1538" t="s">
        <v>241</v>
      </c>
      <c r="B156" s="1539"/>
      <c r="C156" s="356" t="s">
        <v>109</v>
      </c>
      <c r="D156" s="14" t="s">
        <v>110</v>
      </c>
      <c r="E156" s="178" t="s">
        <v>111</v>
      </c>
      <c r="F156" s="14" t="s">
        <v>111</v>
      </c>
      <c r="G156" s="14" t="s">
        <v>112</v>
      </c>
      <c r="H156" s="179" t="s">
        <v>113</v>
      </c>
      <c r="I156" s="15" t="s">
        <v>114</v>
      </c>
      <c r="J156" s="179" t="s">
        <v>115</v>
      </c>
      <c r="K156" s="15" t="s">
        <v>116</v>
      </c>
      <c r="L156" s="165" t="s">
        <v>213</v>
      </c>
      <c r="M156" s="165" t="s">
        <v>117</v>
      </c>
      <c r="N156" s="165" t="s">
        <v>118</v>
      </c>
      <c r="O156" s="16" t="s">
        <v>119</v>
      </c>
      <c r="P156" s="17" t="s">
        <v>120</v>
      </c>
      <c r="Q156" s="18" t="s">
        <v>121</v>
      </c>
      <c r="R156" s="18" t="s">
        <v>191</v>
      </c>
      <c r="S156" s="19" t="s">
        <v>122</v>
      </c>
      <c r="T156" s="1267"/>
      <c r="U156" s="1240" t="s">
        <v>124</v>
      </c>
      <c r="V156" s="1240" t="s">
        <v>125</v>
      </c>
      <c r="W156" s="1240" t="s">
        <v>217</v>
      </c>
      <c r="X156" s="18" t="s">
        <v>273</v>
      </c>
      <c r="Y156" s="18" t="s">
        <v>274</v>
      </c>
      <c r="Z156" s="18" t="s">
        <v>314</v>
      </c>
      <c r="AA156" s="18" t="s">
        <v>336</v>
      </c>
      <c r="AB156" s="18" t="s">
        <v>374</v>
      </c>
      <c r="AC156" s="18" t="s">
        <v>681</v>
      </c>
      <c r="AD156" s="18" t="s">
        <v>1153</v>
      </c>
      <c r="AE156" s="18" t="s">
        <v>1154</v>
      </c>
      <c r="AF156" s="18" t="s">
        <v>1155</v>
      </c>
      <c r="AG156" s="851"/>
      <c r="AH156" s="83"/>
    </row>
    <row r="157" spans="1:35" s="42" customFormat="1" ht="9" customHeight="1" thickBot="1" x14ac:dyDescent="0.35">
      <c r="A157" s="372"/>
      <c r="B157" s="70"/>
      <c r="C157" s="70"/>
      <c r="D157" s="71"/>
      <c r="E157" s="193"/>
      <c r="F157" s="72"/>
      <c r="G157" s="71"/>
      <c r="H157" s="73"/>
      <c r="I157" s="74"/>
      <c r="J157" s="73"/>
      <c r="K157" s="74"/>
      <c r="L157" s="71"/>
      <c r="M157" s="71"/>
      <c r="N157" s="71"/>
      <c r="O157" s="194"/>
      <c r="P157" s="195"/>
      <c r="Q157" s="75"/>
      <c r="R157" s="75"/>
      <c r="S157" s="71"/>
      <c r="T157" s="271"/>
      <c r="U157" s="76"/>
      <c r="V157" s="76"/>
      <c r="W157" s="76"/>
      <c r="X157" s="76"/>
      <c r="Y157" s="76"/>
      <c r="Z157" s="76"/>
      <c r="AA157" s="76"/>
      <c r="AB157" s="76"/>
      <c r="AC157" s="76"/>
      <c r="AD157" s="76"/>
      <c r="AE157" s="76"/>
      <c r="AF157" s="76"/>
      <c r="AG157" s="84"/>
      <c r="AH157" s="83"/>
    </row>
    <row r="158" spans="1:35" s="26" customFormat="1" x14ac:dyDescent="0.2">
      <c r="A158" s="373">
        <v>1</v>
      </c>
      <c r="B158" s="77" t="s">
        <v>146</v>
      </c>
      <c r="C158" s="43"/>
      <c r="D158" s="52"/>
      <c r="E158" s="196"/>
      <c r="F158" s="44" t="s">
        <v>239</v>
      </c>
      <c r="G158" s="45" t="s">
        <v>238</v>
      </c>
      <c r="H158" s="46">
        <v>110000</v>
      </c>
      <c r="I158" s="23">
        <v>129553</v>
      </c>
      <c r="J158" s="46"/>
      <c r="K158" s="55"/>
      <c r="L158" s="58">
        <f>0.101%+$L$7</f>
        <v>1.7590000000000001E-2</v>
      </c>
      <c r="M158" s="39">
        <v>2.5000000000000001E-3</v>
      </c>
      <c r="N158" s="47">
        <v>5</v>
      </c>
      <c r="O158" s="197"/>
      <c r="P158" s="198"/>
      <c r="Q158" s="25"/>
      <c r="R158" s="25"/>
      <c r="S158" s="49" t="s">
        <v>126</v>
      </c>
      <c r="T158" s="312"/>
      <c r="U158" s="50">
        <v>8936</v>
      </c>
      <c r="V158" s="50">
        <v>8936</v>
      </c>
      <c r="W158" s="50">
        <v>8936</v>
      </c>
      <c r="X158" s="50">
        <v>8936</v>
      </c>
      <c r="Y158" s="50">
        <v>8936</v>
      </c>
      <c r="Z158" s="50">
        <v>8936</v>
      </c>
      <c r="AA158" s="50">
        <v>8936</v>
      </c>
      <c r="AB158" s="50">
        <v>8936</v>
      </c>
      <c r="AC158" s="50">
        <v>8936</v>
      </c>
      <c r="AD158" s="50">
        <v>8936</v>
      </c>
      <c r="AE158" s="50">
        <v>29042</v>
      </c>
      <c r="AF158" s="50">
        <f>SUM(X158:AE158)</f>
        <v>91594</v>
      </c>
      <c r="AG158" s="64"/>
      <c r="AH158" s="83"/>
    </row>
    <row r="159" spans="1:35" s="42" customFormat="1" ht="11.4" customHeight="1" thickBot="1" x14ac:dyDescent="0.25">
      <c r="A159" s="369"/>
      <c r="B159" s="79"/>
      <c r="C159" s="27"/>
      <c r="D159" s="28"/>
      <c r="E159" s="185"/>
      <c r="F159" s="40"/>
      <c r="G159" s="30"/>
      <c r="H159" s="80"/>
      <c r="I159" s="41"/>
      <c r="J159" s="80"/>
      <c r="K159" s="41"/>
      <c r="L159" s="28"/>
      <c r="M159" s="28"/>
      <c r="N159" s="28"/>
      <c r="O159" s="199"/>
      <c r="P159" s="200"/>
      <c r="Q159" s="32"/>
      <c r="R159" s="32"/>
      <c r="S159" s="33" t="s">
        <v>2</v>
      </c>
      <c r="T159" s="269"/>
      <c r="U159" s="34">
        <v>385.27866</v>
      </c>
      <c r="V159" s="34">
        <v>353.91329999999999</v>
      </c>
      <c r="W159" s="34">
        <v>1659.7502999999999</v>
      </c>
      <c r="X159" s="34">
        <f>((SUM(X158:$AE158))*($L158+$M158))</f>
        <v>1840.12346</v>
      </c>
      <c r="Y159" s="34">
        <f>((SUM(Y158:$AE158))*($L158+$M158))</f>
        <v>1660.5992200000001</v>
      </c>
      <c r="Z159" s="34">
        <f>((SUM(Z158:$AE158))*($L158+$M158))</f>
        <v>1481.0749800000001</v>
      </c>
      <c r="AA159" s="34">
        <f>((SUM(AA158:$AE158))*($L158+$M158))</f>
        <v>1301.5507399999999</v>
      </c>
      <c r="AB159" s="34">
        <f>((SUM(AB158:$AE158))*($L158+$M158))</f>
        <v>1122.0264999999999</v>
      </c>
      <c r="AC159" s="34">
        <f>((SUM(AC158:$AE158))*($L158+$M158))</f>
        <v>942.50225999999998</v>
      </c>
      <c r="AD159" s="34">
        <f>((SUM(AD158:$AE158))*($L158+$M158))</f>
        <v>762.97802000000001</v>
      </c>
      <c r="AE159" s="34">
        <f>((SUM(AE158:$AE158))*($L158+$M158))*3</f>
        <v>1750.3613400000002</v>
      </c>
      <c r="AF159" s="50">
        <f>SUM(X159:AE159)</f>
        <v>10861.21652</v>
      </c>
      <c r="AG159" s="84"/>
      <c r="AH159" s="83"/>
    </row>
    <row r="160" spans="1:35" s="26" customFormat="1" x14ac:dyDescent="0.2">
      <c r="A160" s="370">
        <v>2</v>
      </c>
      <c r="B160" s="77" t="s">
        <v>333</v>
      </c>
      <c r="C160" s="43"/>
      <c r="D160" s="52"/>
      <c r="E160" s="196"/>
      <c r="F160" s="44" t="s">
        <v>331</v>
      </c>
      <c r="G160" s="45" t="s">
        <v>332</v>
      </c>
      <c r="H160" s="46">
        <v>110000</v>
      </c>
      <c r="I160" s="23">
        <v>44681</v>
      </c>
      <c r="J160" s="46">
        <v>110000</v>
      </c>
      <c r="K160" s="55"/>
      <c r="L160" s="58">
        <v>3.5599999999999998E-3</v>
      </c>
      <c r="M160" s="39">
        <v>5.0000000000000001E-3</v>
      </c>
      <c r="N160" s="35">
        <v>4</v>
      </c>
      <c r="O160" s="197"/>
      <c r="P160" s="198"/>
      <c r="Q160" s="48"/>
      <c r="R160" s="48"/>
      <c r="S160" s="49" t="s">
        <v>126</v>
      </c>
      <c r="T160" s="312"/>
      <c r="U160" s="50">
        <v>14127.05</v>
      </c>
      <c r="V160" s="50">
        <v>5510.5199999999995</v>
      </c>
      <c r="W160" s="50">
        <v>5510.5199999999995</v>
      </c>
      <c r="X160" s="50">
        <v>5510.5199999999995</v>
      </c>
      <c r="Y160" s="50">
        <v>5510.2999999999993</v>
      </c>
      <c r="Z160" s="257">
        <v>446.95</v>
      </c>
      <c r="AA160" s="78">
        <v>0</v>
      </c>
      <c r="AB160" s="78">
        <v>0</v>
      </c>
      <c r="AC160" s="78">
        <v>0</v>
      </c>
      <c r="AD160" s="78">
        <v>0</v>
      </c>
      <c r="AE160" s="78">
        <v>0</v>
      </c>
      <c r="AF160" s="50">
        <f t="shared" ref="AF160:AF167" si="17">SUM(X160:AE160)</f>
        <v>11467.77</v>
      </c>
      <c r="AG160" s="64"/>
      <c r="AH160" s="83"/>
    </row>
    <row r="161" spans="1:34" s="42" customFormat="1" ht="13.8" thickBot="1" x14ac:dyDescent="0.25">
      <c r="A161" s="369"/>
      <c r="B161" s="79" t="s">
        <v>330</v>
      </c>
      <c r="C161" s="27"/>
      <c r="D161" s="28"/>
      <c r="E161" s="185"/>
      <c r="F161" s="40"/>
      <c r="G161" s="30"/>
      <c r="H161" s="80"/>
      <c r="I161" s="41"/>
      <c r="J161" s="80"/>
      <c r="K161" s="41"/>
      <c r="L161" s="28"/>
      <c r="M161" s="28"/>
      <c r="N161" s="28"/>
      <c r="O161" s="199"/>
      <c r="P161" s="200"/>
      <c r="Q161" s="32"/>
      <c r="R161" s="32"/>
      <c r="S161" s="33" t="s">
        <v>2</v>
      </c>
      <c r="T161" s="269"/>
      <c r="U161" s="34"/>
      <c r="V161" s="34"/>
      <c r="W161" s="34"/>
      <c r="X161" s="34"/>
      <c r="Y161" s="34"/>
      <c r="Z161" s="34"/>
      <c r="AA161" s="34"/>
      <c r="AB161" s="34"/>
      <c r="AC161" s="34"/>
      <c r="AD161" s="34"/>
      <c r="AE161" s="34"/>
      <c r="AF161" s="50">
        <f t="shared" si="17"/>
        <v>0</v>
      </c>
      <c r="AG161" s="84"/>
      <c r="AH161" s="83"/>
    </row>
    <row r="162" spans="1:34" s="26" customFormat="1" x14ac:dyDescent="0.2">
      <c r="A162" s="370">
        <v>3</v>
      </c>
      <c r="B162" s="77" t="s">
        <v>366</v>
      </c>
      <c r="C162" s="43"/>
      <c r="D162" s="52"/>
      <c r="E162" s="196"/>
      <c r="F162" s="44" t="s">
        <v>367</v>
      </c>
      <c r="G162" s="45" t="s">
        <v>368</v>
      </c>
      <c r="H162" s="46">
        <v>110000</v>
      </c>
      <c r="I162" s="23">
        <v>82013</v>
      </c>
      <c r="J162" s="46">
        <v>110000</v>
      </c>
      <c r="K162" s="55"/>
      <c r="L162" s="58">
        <v>3.5599999999999998E-3</v>
      </c>
      <c r="M162" s="39">
        <v>5.0000000000000001E-3</v>
      </c>
      <c r="N162" s="35">
        <v>4</v>
      </c>
      <c r="O162" s="197"/>
      <c r="P162" s="198"/>
      <c r="Q162" s="48"/>
      <c r="R162" s="48"/>
      <c r="S162" s="49" t="s">
        <v>126</v>
      </c>
      <c r="T162" s="312"/>
      <c r="U162" s="50">
        <v>7278.62</v>
      </c>
      <c r="V162" s="50">
        <v>15204.36</v>
      </c>
      <c r="W162" s="50">
        <v>15204.36</v>
      </c>
      <c r="X162" s="50">
        <v>15204.36</v>
      </c>
      <c r="Y162" s="50">
        <v>15204.36</v>
      </c>
      <c r="Z162" s="257">
        <v>13916.95</v>
      </c>
      <c r="AA162" s="78">
        <v>0</v>
      </c>
      <c r="AB162" s="78">
        <v>0</v>
      </c>
      <c r="AC162" s="78">
        <v>0</v>
      </c>
      <c r="AD162" s="78">
        <v>0</v>
      </c>
      <c r="AE162" s="78">
        <v>0</v>
      </c>
      <c r="AF162" s="50">
        <f t="shared" si="17"/>
        <v>44325.67</v>
      </c>
      <c r="AG162" s="64"/>
      <c r="AH162" s="83"/>
    </row>
    <row r="163" spans="1:34" s="42" customFormat="1" ht="13.8" thickBot="1" x14ac:dyDescent="0.25">
      <c r="A163" s="369"/>
      <c r="B163" s="79"/>
      <c r="C163" s="27"/>
      <c r="D163" s="28"/>
      <c r="E163" s="185"/>
      <c r="F163" s="40"/>
      <c r="G163" s="30"/>
      <c r="H163" s="80"/>
      <c r="I163" s="41"/>
      <c r="J163" s="80"/>
      <c r="K163" s="41"/>
      <c r="L163" s="28"/>
      <c r="M163" s="28"/>
      <c r="N163" s="28"/>
      <c r="O163" s="199"/>
      <c r="P163" s="200"/>
      <c r="Q163" s="32"/>
      <c r="R163" s="32"/>
      <c r="S163" s="33" t="s">
        <v>2</v>
      </c>
      <c r="T163" s="269"/>
      <c r="U163" s="34"/>
      <c r="V163" s="34"/>
      <c r="W163" s="34"/>
      <c r="X163" s="34"/>
      <c r="Y163" s="34"/>
      <c r="Z163" s="34"/>
      <c r="AA163" s="34"/>
      <c r="AB163" s="34"/>
      <c r="AC163" s="34"/>
      <c r="AD163" s="34"/>
      <c r="AE163" s="34"/>
      <c r="AF163" s="50">
        <f t="shared" si="17"/>
        <v>0</v>
      </c>
      <c r="AG163" s="84"/>
      <c r="AH163" s="83"/>
    </row>
    <row r="164" spans="1:34" s="26" customFormat="1" x14ac:dyDescent="0.2">
      <c r="A164" s="370">
        <v>4</v>
      </c>
      <c r="B164" s="77" t="s">
        <v>369</v>
      </c>
      <c r="C164" s="43"/>
      <c r="D164" s="52"/>
      <c r="E164" s="196"/>
      <c r="F164" s="44" t="s">
        <v>370</v>
      </c>
      <c r="G164" s="45" t="s">
        <v>371</v>
      </c>
      <c r="H164" s="187">
        <v>110000</v>
      </c>
      <c r="I164" s="23">
        <v>40000</v>
      </c>
      <c r="J164" s="46">
        <v>110000</v>
      </c>
      <c r="K164" s="55"/>
      <c r="L164" s="58">
        <v>3.5599999999999998E-3</v>
      </c>
      <c r="M164" s="39">
        <v>5.0000000000000001E-3</v>
      </c>
      <c r="N164" s="35">
        <v>4</v>
      </c>
      <c r="O164" s="197"/>
      <c r="P164" s="198"/>
      <c r="Q164" s="48"/>
      <c r="R164" s="48"/>
      <c r="S164" s="49" t="s">
        <v>126</v>
      </c>
      <c r="T164" s="312"/>
      <c r="U164" s="50"/>
      <c r="V164" s="50">
        <v>12000</v>
      </c>
      <c r="W164" s="50">
        <v>7000</v>
      </c>
      <c r="X164" s="50">
        <v>7000</v>
      </c>
      <c r="Y164" s="50">
        <v>7000</v>
      </c>
      <c r="Z164" s="50">
        <v>7000</v>
      </c>
      <c r="AA164" s="50">
        <v>0</v>
      </c>
      <c r="AB164" s="50">
        <v>0</v>
      </c>
      <c r="AC164" s="50">
        <v>0</v>
      </c>
      <c r="AD164" s="50">
        <v>0</v>
      </c>
      <c r="AE164" s="50">
        <v>0</v>
      </c>
      <c r="AF164" s="50">
        <f t="shared" si="17"/>
        <v>21000</v>
      </c>
      <c r="AG164" s="1265"/>
      <c r="AH164" s="83"/>
    </row>
    <row r="165" spans="1:34" s="42" customFormat="1" ht="13.8" thickBot="1" x14ac:dyDescent="0.25">
      <c r="A165" s="369"/>
      <c r="B165" s="79"/>
      <c r="C165" s="27"/>
      <c r="D165" s="28"/>
      <c r="E165" s="185"/>
      <c r="F165" s="40"/>
      <c r="G165" s="30"/>
      <c r="H165" s="80"/>
      <c r="I165" s="41"/>
      <c r="J165" s="80"/>
      <c r="K165" s="41"/>
      <c r="L165" s="28"/>
      <c r="M165" s="28"/>
      <c r="N165" s="28"/>
      <c r="O165" s="199"/>
      <c r="P165" s="200"/>
      <c r="Q165" s="32"/>
      <c r="R165" s="32"/>
      <c r="S165" s="33" t="s">
        <v>2</v>
      </c>
      <c r="T165" s="269"/>
      <c r="U165" s="34"/>
      <c r="V165" s="34"/>
      <c r="W165" s="34"/>
      <c r="X165" s="34"/>
      <c r="Y165" s="34"/>
      <c r="Z165" s="34"/>
      <c r="AA165" s="34"/>
      <c r="AB165" s="34"/>
      <c r="AC165" s="34"/>
      <c r="AD165" s="34"/>
      <c r="AE165" s="34"/>
      <c r="AF165" s="50">
        <f t="shared" si="17"/>
        <v>0</v>
      </c>
      <c r="AG165" s="84"/>
      <c r="AH165" s="83"/>
    </row>
    <row r="166" spans="1:34" s="26" customFormat="1" outlineLevel="1" x14ac:dyDescent="0.2">
      <c r="A166" s="370">
        <v>5</v>
      </c>
      <c r="B166" s="77" t="s">
        <v>146</v>
      </c>
      <c r="C166" s="43"/>
      <c r="D166" s="52"/>
      <c r="E166" s="44"/>
      <c r="F166" s="44" t="s">
        <v>364</v>
      </c>
      <c r="G166" s="45" t="s">
        <v>365</v>
      </c>
      <c r="H166" s="187"/>
      <c r="I166" s="23">
        <v>2300000</v>
      </c>
      <c r="J166" s="187">
        <v>110000</v>
      </c>
      <c r="K166" s="55"/>
      <c r="L166" s="58">
        <f>0.101%+$L$7</f>
        <v>1.7590000000000001E-2</v>
      </c>
      <c r="M166" s="39">
        <v>2.5000000000000001E-3</v>
      </c>
      <c r="N166" s="35">
        <v>4</v>
      </c>
      <c r="O166" s="350"/>
      <c r="P166" s="351"/>
      <c r="Q166" s="48"/>
      <c r="R166" s="48"/>
      <c r="S166" s="49" t="s">
        <v>126</v>
      </c>
      <c r="T166" s="352"/>
      <c r="U166" s="50"/>
      <c r="V166" s="50">
        <v>0</v>
      </c>
      <c r="W166" s="50">
        <v>0</v>
      </c>
      <c r="X166" s="50">
        <v>0</v>
      </c>
      <c r="Y166" s="50">
        <v>64485.98130841121</v>
      </c>
      <c r="Z166" s="50">
        <v>85981.308411214952</v>
      </c>
      <c r="AA166" s="50">
        <v>85981.308411214952</v>
      </c>
      <c r="AB166" s="50">
        <v>85981.308411214952</v>
      </c>
      <c r="AC166" s="50">
        <v>85981.308411214952</v>
      </c>
      <c r="AD166" s="50">
        <v>85981.308411214952</v>
      </c>
      <c r="AE166" s="50">
        <v>1805607.4766355138</v>
      </c>
      <c r="AF166" s="50">
        <f t="shared" si="17"/>
        <v>2300000</v>
      </c>
      <c r="AG166" s="64"/>
      <c r="AH166" s="83"/>
    </row>
    <row r="167" spans="1:34" s="42" customFormat="1" ht="13.8" outlineLevel="1" thickBot="1" x14ac:dyDescent="0.25">
      <c r="A167" s="369"/>
      <c r="B167" s="79"/>
      <c r="C167" s="27"/>
      <c r="D167" s="28"/>
      <c r="E167" s="40"/>
      <c r="F167" s="40"/>
      <c r="G167" s="30"/>
      <c r="H167" s="353"/>
      <c r="I167" s="41"/>
      <c r="J167" s="353"/>
      <c r="K167" s="41"/>
      <c r="L167" s="28"/>
      <c r="M167" s="28"/>
      <c r="N167" s="28"/>
      <c r="O167" s="354"/>
      <c r="P167" s="41"/>
      <c r="Q167" s="32"/>
      <c r="R167" s="32"/>
      <c r="S167" s="33" t="s">
        <v>2</v>
      </c>
      <c r="T167" s="34"/>
      <c r="U167" s="34"/>
      <c r="V167" s="34"/>
      <c r="W167" s="34">
        <v>37973</v>
      </c>
      <c r="X167" s="34">
        <f>((SUM(X166:$AE166))*($L166+$M166))</f>
        <v>46207</v>
      </c>
      <c r="Y167" s="34">
        <f>((SUM(Y166:$AE166))*($L166+$M166))</f>
        <v>46207</v>
      </c>
      <c r="Z167" s="34">
        <f>((SUM(Z166:$AE166))*($L166+$M166))</f>
        <v>44911.476635514016</v>
      </c>
      <c r="AA167" s="34">
        <f>((SUM(AA166:$AE166))*($L166+$M166))</f>
        <v>43184.11214953271</v>
      </c>
      <c r="AB167" s="34">
        <f>((SUM(AB166:$AE166))*($L166+$M166))</f>
        <v>41456.747663551396</v>
      </c>
      <c r="AC167" s="34">
        <f>((SUM(AC166:$AE166))*($L166+$M166))</f>
        <v>39729.383177570089</v>
      </c>
      <c r="AD167" s="34">
        <f>((SUM(AD166:$AE166))*($L166+$M166))</f>
        <v>38002.018691588783</v>
      </c>
      <c r="AE167" s="34">
        <f>((SUM(AE166:$AE166))*($L166+$M166))*21</f>
        <v>761767.73831775703</v>
      </c>
      <c r="AF167" s="50">
        <f t="shared" si="17"/>
        <v>1061465.4766355141</v>
      </c>
      <c r="AG167" s="1264"/>
      <c r="AH167" s="83"/>
    </row>
    <row r="168" spans="1:34" s="42" customFormat="1" outlineLevel="1" x14ac:dyDescent="0.2">
      <c r="A168" s="371"/>
      <c r="B168" s="84"/>
      <c r="C168" s="84"/>
      <c r="D168" s="1258"/>
      <c r="E168" s="1259"/>
      <c r="F168" s="1259"/>
      <c r="G168" s="1258"/>
      <c r="H168" s="1260"/>
      <c r="I168" s="386"/>
      <c r="J168" s="1260"/>
      <c r="K168" s="386"/>
      <c r="L168" s="1258"/>
      <c r="M168" s="1258"/>
      <c r="N168" s="1258"/>
      <c r="O168" s="1261"/>
      <c r="P168" s="386"/>
      <c r="Q168" s="63"/>
      <c r="R168" s="63"/>
      <c r="S168" s="1259" t="s">
        <v>517</v>
      </c>
      <c r="T168" s="69"/>
      <c r="U168" s="69"/>
      <c r="V168" s="69">
        <f>SUM(V158:V167)</f>
        <v>42004.793300000005</v>
      </c>
      <c r="W168" s="69">
        <f>SUM(W158:W167)</f>
        <v>76283.630300000004</v>
      </c>
      <c r="X168" s="1263">
        <f>SUM(X158:X167)</f>
        <v>84698.003460000007</v>
      </c>
      <c r="Y168" s="1263">
        <f t="shared" ref="Y168:AF168" si="18">SUM(Y158:Y167)</f>
        <v>149004.2405284112</v>
      </c>
      <c r="Z168" s="1263">
        <f t="shared" si="18"/>
        <v>162673.76002672897</v>
      </c>
      <c r="AA168" s="1263">
        <f t="shared" si="18"/>
        <v>139402.97130074765</v>
      </c>
      <c r="AB168" s="1263">
        <f t="shared" si="18"/>
        <v>137496.08257476633</v>
      </c>
      <c r="AC168" s="1263">
        <f t="shared" si="18"/>
        <v>135589.19384878504</v>
      </c>
      <c r="AD168" s="1263">
        <f t="shared" si="18"/>
        <v>133682.30512280372</v>
      </c>
      <c r="AE168" s="1263">
        <f t="shared" si="18"/>
        <v>2598167.576293271</v>
      </c>
      <c r="AF168" s="1263">
        <f t="shared" si="18"/>
        <v>3540714.1331555145</v>
      </c>
      <c r="AG168" s="84"/>
      <c r="AH168" s="64"/>
    </row>
    <row r="169" spans="1:34" s="26" customFormat="1" x14ac:dyDescent="0.2">
      <c r="A169" s="371"/>
      <c r="B169" s="64"/>
      <c r="C169" s="64"/>
      <c r="D169" s="64"/>
      <c r="E169" s="190"/>
      <c r="F169" s="66"/>
      <c r="G169" s="64"/>
      <c r="H169" s="81"/>
      <c r="I169" s="82"/>
      <c r="J169" s="81"/>
      <c r="K169" s="82"/>
      <c r="L169" s="64"/>
      <c r="M169" s="64"/>
      <c r="N169" s="64"/>
      <c r="O169" s="201"/>
      <c r="P169" s="202"/>
      <c r="Q169" s="83"/>
      <c r="R169" s="83"/>
      <c r="S169" s="64"/>
      <c r="T169" s="272"/>
      <c r="U169" s="84"/>
      <c r="V169" s="84"/>
      <c r="W169" s="84"/>
      <c r="X169" s="84"/>
      <c r="Y169" s="84"/>
      <c r="Z169" s="84"/>
      <c r="AA169" s="84"/>
      <c r="AB169" s="84"/>
      <c r="AC169" s="84"/>
      <c r="AD169" s="849"/>
      <c r="AE169" s="849"/>
      <c r="AF169" s="849"/>
      <c r="AG169" s="64"/>
      <c r="AH169" s="64"/>
    </row>
    <row r="170" spans="1:34" s="26" customFormat="1" ht="13.8" hidden="1" outlineLevel="1" thickBot="1" x14ac:dyDescent="0.25">
      <c r="A170" s="374"/>
      <c r="B170" s="62" t="s">
        <v>1530</v>
      </c>
      <c r="C170" s="62"/>
      <c r="D170" s="85"/>
      <c r="E170" s="203"/>
      <c r="F170" s="86"/>
      <c r="G170" s="87" t="s">
        <v>147</v>
      </c>
      <c r="H170" s="88"/>
      <c r="I170" s="89"/>
      <c r="J170" s="88"/>
      <c r="K170" s="89"/>
      <c r="L170" s="85"/>
      <c r="M170" s="85"/>
      <c r="N170" s="85"/>
      <c r="O170" s="204"/>
      <c r="P170" s="205"/>
      <c r="Q170" s="90"/>
      <c r="R170" s="90"/>
      <c r="S170" s="91"/>
      <c r="T170" s="1268"/>
      <c r="U170" s="1269">
        <v>1229923.9651100899</v>
      </c>
      <c r="V170" s="1269">
        <f t="shared" ref="V170:W170" si="19">SUM(V140,V168)</f>
        <v>4122098.4878923316</v>
      </c>
      <c r="W170" s="1269">
        <f t="shared" si="19"/>
        <v>3794109.7313774847</v>
      </c>
      <c r="X170" s="1269">
        <f>SUM(X140,X168)</f>
        <v>4733927.3053302942</v>
      </c>
      <c r="Y170" s="1269">
        <f t="shared" ref="Y170:AF170" si="20">SUM(Y140,Y168)</f>
        <v>4521130.2452760963</v>
      </c>
      <c r="Z170" s="1269">
        <f t="shared" si="20"/>
        <v>4396469.2082488071</v>
      </c>
      <c r="AA170" s="1269">
        <f t="shared" si="20"/>
        <v>4260278.6670075161</v>
      </c>
      <c r="AB170" s="1269">
        <f t="shared" si="20"/>
        <v>4052197.1947659277</v>
      </c>
      <c r="AC170" s="1269">
        <f t="shared" si="20"/>
        <v>3933805.4018043387</v>
      </c>
      <c r="AD170" s="1269">
        <f t="shared" si="20"/>
        <v>3808495.2036927477</v>
      </c>
      <c r="AE170" s="1269">
        <f t="shared" si="20"/>
        <v>43039125.903979719</v>
      </c>
      <c r="AF170" s="1269">
        <f t="shared" si="20"/>
        <v>72745429.130105451</v>
      </c>
      <c r="AG170" s="64"/>
      <c r="AH170" s="64"/>
    </row>
    <row r="171" spans="1:34" s="9" customFormat="1" ht="23.4" hidden="1" outlineLevel="1" x14ac:dyDescent="0.25">
      <c r="A171" s="367"/>
      <c r="B171" s="1314" t="s">
        <v>148</v>
      </c>
      <c r="E171" s="1315"/>
      <c r="F171" s="13"/>
      <c r="H171" s="1316"/>
      <c r="I171" s="1317"/>
      <c r="J171" s="1316"/>
      <c r="K171" s="1317"/>
      <c r="O171" s="1318"/>
      <c r="P171" s="1319"/>
      <c r="Q171" s="1320"/>
      <c r="R171" s="1320"/>
      <c r="T171" s="1321"/>
      <c r="U171" s="1320">
        <v>9.6378458592987326E-2</v>
      </c>
      <c r="V171" s="1320" t="e">
        <f t="shared" ref="V171:W171" si="21">V170/$I$177</f>
        <v>#DIV/0!</v>
      </c>
      <c r="W171" s="1320" t="e">
        <f t="shared" si="21"/>
        <v>#DIV/0!</v>
      </c>
      <c r="X171" s="1320"/>
      <c r="Y171" s="1320"/>
      <c r="Z171" s="1320"/>
      <c r="AA171" s="1320"/>
      <c r="AB171" s="1320"/>
      <c r="AC171" s="1320"/>
      <c r="AD171" s="1320"/>
      <c r="AE171" s="1320"/>
      <c r="AF171" s="1320"/>
      <c r="AG171" s="1322"/>
      <c r="AH171" s="850"/>
    </row>
    <row r="172" spans="1:34" hidden="1" outlineLevel="1" x14ac:dyDescent="0.25">
      <c r="H172" s="1277"/>
      <c r="I172" s="1278"/>
      <c r="J172" s="1277"/>
      <c r="K172" s="1278"/>
      <c r="O172" s="1279"/>
      <c r="P172" s="1280"/>
      <c r="X172" s="93"/>
    </row>
    <row r="173" spans="1:34" s="26" customFormat="1" ht="13.5" hidden="1" customHeight="1" outlineLevel="1" x14ac:dyDescent="0.2">
      <c r="A173" s="371"/>
      <c r="B173" s="84" t="s">
        <v>177</v>
      </c>
      <c r="C173" s="84"/>
      <c r="D173" s="1258"/>
      <c r="E173" s="1323"/>
      <c r="F173" s="1259"/>
      <c r="G173" s="1258" t="s">
        <v>147</v>
      </c>
      <c r="H173" s="1324"/>
      <c r="I173" s="386"/>
      <c r="J173" s="1324"/>
      <c r="K173" s="386"/>
      <c r="L173" s="1258"/>
      <c r="M173" s="1258"/>
      <c r="N173" s="1258"/>
      <c r="O173" s="1325"/>
      <c r="P173" s="1326"/>
      <c r="Q173" s="63"/>
      <c r="R173" s="63"/>
      <c r="S173" s="1258"/>
      <c r="T173" s="1327"/>
      <c r="U173" s="63">
        <v>1322355.8348899104</v>
      </c>
      <c r="V173" s="63" t="e">
        <f>V174-V170</f>
        <v>#REF!</v>
      </c>
      <c r="W173" s="63" t="e">
        <f>W174-W170</f>
        <v>#REF!</v>
      </c>
      <c r="X173" s="63"/>
      <c r="Y173" s="63"/>
      <c r="Z173" s="63"/>
      <c r="AA173" s="63"/>
      <c r="AB173" s="63"/>
      <c r="AC173" s="63"/>
      <c r="AD173" s="63"/>
      <c r="AE173" s="63"/>
      <c r="AF173" s="63"/>
      <c r="AG173" s="64"/>
      <c r="AH173" s="64"/>
    </row>
    <row r="174" spans="1:34" s="26" customFormat="1" ht="13.5" hidden="1" customHeight="1" outlineLevel="1" x14ac:dyDescent="0.2">
      <c r="A174" s="371"/>
      <c r="B174" s="84" t="s">
        <v>178</v>
      </c>
      <c r="C174" s="84"/>
      <c r="D174" s="1258"/>
      <c r="E174" s="1323"/>
      <c r="F174" s="1259"/>
      <c r="G174" s="1258" t="s">
        <v>147</v>
      </c>
      <c r="H174" s="1324"/>
      <c r="I174" s="386"/>
      <c r="J174" s="1324"/>
      <c r="K174" s="386"/>
      <c r="L174" s="1258"/>
      <c r="M174" s="1258"/>
      <c r="N174" s="1258"/>
      <c r="O174" s="1325"/>
      <c r="P174" s="1326"/>
      <c r="Q174" s="63"/>
      <c r="R174" s="63"/>
      <c r="S174" s="1258"/>
      <c r="T174" s="1327"/>
      <c r="U174" s="63">
        <v>2552279.8000000003</v>
      </c>
      <c r="V174" s="63" t="e">
        <f>#REF!*0.2</f>
        <v>#REF!</v>
      </c>
      <c r="W174" s="63" t="e">
        <f>#REF!*0.2</f>
        <v>#REF!</v>
      </c>
      <c r="X174" s="63"/>
      <c r="Y174" s="63"/>
      <c r="Z174" s="63"/>
      <c r="AA174" s="63"/>
      <c r="AB174" s="63"/>
      <c r="AC174" s="63"/>
      <c r="AD174" s="63"/>
      <c r="AE174" s="63"/>
      <c r="AF174" s="63"/>
      <c r="AG174" s="64"/>
      <c r="AH174" s="64"/>
    </row>
    <row r="175" spans="1:34" s="9" customFormat="1" ht="23.4" hidden="1" outlineLevel="1" x14ac:dyDescent="0.25">
      <c r="A175" s="367"/>
      <c r="B175" s="1313" t="s">
        <v>148</v>
      </c>
      <c r="E175" s="1315"/>
      <c r="F175" s="13"/>
      <c r="H175" s="1328"/>
      <c r="I175" s="1329"/>
      <c r="J175" s="1328"/>
      <c r="K175" s="1329"/>
      <c r="O175" s="1330"/>
      <c r="P175" s="1331"/>
      <c r="Q175" s="1332"/>
      <c r="R175" s="1332"/>
      <c r="T175" s="1333"/>
      <c r="U175" s="1332">
        <v>0.2</v>
      </c>
      <c r="V175" s="1332" t="e">
        <f>(V170+V173)/#REF!</f>
        <v>#REF!</v>
      </c>
      <c r="W175" s="1332" t="e">
        <f>(W170+W173)/#REF!</f>
        <v>#REF!</v>
      </c>
      <c r="X175" s="1332"/>
      <c r="Y175" s="1332"/>
      <c r="Z175" s="1332"/>
      <c r="AA175" s="1332"/>
      <c r="AB175" s="1332"/>
      <c r="AC175" s="1332"/>
      <c r="AD175" s="1332"/>
      <c r="AE175" s="1332"/>
      <c r="AF175" s="1332"/>
      <c r="AG175" s="1322"/>
      <c r="AH175" s="850"/>
    </row>
    <row r="176" spans="1:34" hidden="1" outlineLevel="1" x14ac:dyDescent="0.25">
      <c r="E176" s="166"/>
      <c r="F176" s="3"/>
      <c r="G176" s="4" t="s">
        <v>149</v>
      </c>
      <c r="H176" s="7"/>
      <c r="I176" s="1334"/>
      <c r="J176" s="7"/>
      <c r="K176" s="3"/>
      <c r="L176" s="1335"/>
      <c r="O176" s="1279"/>
      <c r="P176" s="168"/>
      <c r="T176" s="267"/>
      <c r="U176" s="3"/>
      <c r="V176" s="3"/>
      <c r="W176" s="1336"/>
      <c r="X176" s="1337"/>
      <c r="Y176" s="1337"/>
      <c r="Z176" s="1337"/>
      <c r="AA176" s="1337"/>
      <c r="AB176" s="3"/>
      <c r="AC176" s="3"/>
      <c r="AD176" s="3"/>
      <c r="AE176" s="3"/>
      <c r="AF176" s="3"/>
    </row>
    <row r="177" spans="1:34" hidden="1" outlineLevel="1" x14ac:dyDescent="0.25">
      <c r="G177" s="4" t="s">
        <v>150</v>
      </c>
      <c r="H177" s="4"/>
      <c r="I177" s="1338"/>
      <c r="J177" s="4"/>
      <c r="K177" s="4"/>
      <c r="L177" s="4"/>
      <c r="M177" s="4"/>
      <c r="N177" s="4"/>
      <c r="O177" s="4"/>
      <c r="P177" s="4"/>
      <c r="Q177" s="4"/>
      <c r="R177" s="4"/>
      <c r="S177" s="4"/>
      <c r="T177" s="4"/>
      <c r="U177" s="4"/>
      <c r="V177" s="4"/>
      <c r="W177" s="3"/>
      <c r="X177" s="3"/>
      <c r="Y177" s="3"/>
      <c r="Z177" s="3"/>
      <c r="AA177" s="3"/>
      <c r="AB177" s="3"/>
      <c r="AC177" s="3"/>
      <c r="AD177" s="3"/>
      <c r="AE177" s="3"/>
      <c r="AF177" s="3"/>
    </row>
    <row r="178" spans="1:34" hidden="1" outlineLevel="1" x14ac:dyDescent="0.25">
      <c r="G178" s="4"/>
      <c r="H178" s="4"/>
      <c r="I178" s="1283"/>
      <c r="J178" s="1283"/>
      <c r="K178" s="1283"/>
      <c r="L178" s="1283"/>
      <c r="M178" s="1283"/>
      <c r="N178" s="1283"/>
      <c r="O178" s="1283"/>
      <c r="P178" s="1283"/>
      <c r="Q178" s="1283"/>
      <c r="R178" s="1283"/>
      <c r="S178" s="1283"/>
      <c r="T178" s="1283"/>
      <c r="U178" s="1283"/>
      <c r="V178" s="1283"/>
      <c r="W178" s="850"/>
      <c r="X178" s="855"/>
      <c r="Y178" s="855"/>
      <c r="Z178" s="855"/>
      <c r="AA178" s="855"/>
      <c r="AB178" s="855"/>
      <c r="AC178" s="855"/>
      <c r="AD178" s="855"/>
      <c r="AE178" s="855"/>
      <c r="AF178" s="855"/>
    </row>
    <row r="179" spans="1:34" ht="27.75" customHeight="1" collapsed="1" thickBot="1" x14ac:dyDescent="0.3">
      <c r="H179" s="1276"/>
      <c r="I179" s="1199"/>
      <c r="J179" s="1298"/>
      <c r="K179" s="1299"/>
      <c r="L179" s="1199"/>
      <c r="M179" s="1199"/>
      <c r="N179" s="1199"/>
      <c r="O179" s="1300"/>
      <c r="P179" s="1301"/>
      <c r="Q179" s="1199"/>
      <c r="R179" s="1199"/>
      <c r="S179" s="1302"/>
      <c r="T179" s="1284"/>
      <c r="U179" s="850"/>
      <c r="V179" s="850"/>
      <c r="W179" s="850"/>
      <c r="X179" s="1306" t="s">
        <v>1523</v>
      </c>
      <c r="Y179" s="1305" t="s">
        <v>1524</v>
      </c>
      <c r="Z179" s="1305" t="s">
        <v>1525</v>
      </c>
      <c r="AA179" s="1305" t="s">
        <v>1526</v>
      </c>
      <c r="AB179" s="1305" t="s">
        <v>1527</v>
      </c>
      <c r="AC179" s="1305" t="s">
        <v>1528</v>
      </c>
      <c r="AD179" s="1305" t="s">
        <v>1529</v>
      </c>
      <c r="AE179" s="1305" t="s">
        <v>1154</v>
      </c>
      <c r="AF179" s="1306" t="s">
        <v>1155</v>
      </c>
    </row>
    <row r="180" spans="1:34" x14ac:dyDescent="0.25">
      <c r="H180" s="1277"/>
      <c r="I180" s="1285"/>
      <c r="J180" s="1286"/>
      <c r="K180" s="1285"/>
      <c r="O180" s="1279"/>
      <c r="P180" s="1280"/>
      <c r="Q180" s="1281"/>
      <c r="R180" s="1281"/>
      <c r="S180" s="13" t="s">
        <v>454</v>
      </c>
      <c r="T180" s="1283" t="s">
        <v>126</v>
      </c>
      <c r="U180" s="1287">
        <v>1077375.7431783541</v>
      </c>
      <c r="V180" s="1287">
        <f>V10+V12+V14+V16+V24+V18+V20+V22+V26+V28+V30+V32+V34+V36+V38+V40+V42+V44+V46+V48+V52+V54+V56+V58+V60+V64+V70+V72+V74+V76+V78+V80+V82+V84+V86+V88+V90+V92+V94+V96+V98+V100+V102+V104+V106+V108+V110+V112+V114+V116+V118+V120+V122+V124+V126+V128</f>
        <v>3547054.7031783541</v>
      </c>
      <c r="W180" s="1287">
        <f>W10+W12+W14+W16+W24+W18+W20+W22+W26+W28+W30+W32+W34+W36+W38+W40+W42+W44+W46+W48+W52+W54+W56+W58+W60+W62+W64+W66+W68+W70+W72+W74+W76+W78+W80+W82+W84+W86+W88+W90+W92+W94+W96+W98+W100+W102+W104+W106+W108+W110+W112+W114+W116+W118+W120+W122+W124+W126+W128+W130+W132+W134</f>
        <v>3124493.5999999996</v>
      </c>
      <c r="X180" s="1307">
        <f>SUMIF($S$10:$S$139,$T$180,X$10:X$139)</f>
        <v>3601890.1379218102</v>
      </c>
      <c r="Y180" s="1287">
        <f t="shared" ref="Y180:AF180" si="22">SUMIF($S$10:$S$139,$T$180,Y$10:Y$139)</f>
        <v>3395159.8379218103</v>
      </c>
      <c r="Z180" s="1287">
        <f t="shared" si="22"/>
        <v>3323272.1679218104</v>
      </c>
      <c r="AA180" s="1287">
        <f t="shared" si="22"/>
        <v>3275414.8379218103</v>
      </c>
      <c r="AB180" s="1287">
        <f t="shared" si="22"/>
        <v>3133366.8379218103</v>
      </c>
      <c r="AC180" s="1287">
        <f t="shared" si="22"/>
        <v>3078251.8379218103</v>
      </c>
      <c r="AD180" s="1287">
        <f t="shared" si="22"/>
        <v>3015122.8379218103</v>
      </c>
      <c r="AE180" s="1287">
        <f t="shared" si="22"/>
        <v>30958230.718703706</v>
      </c>
      <c r="AF180" s="1307">
        <f t="shared" si="22"/>
        <v>53780709.214156374</v>
      </c>
    </row>
    <row r="181" spans="1:34" x14ac:dyDescent="0.25">
      <c r="B181" s="94"/>
      <c r="C181" s="95"/>
      <c r="E181" s="166"/>
      <c r="F181" s="3"/>
      <c r="H181" s="1277"/>
      <c r="I181" s="1285"/>
      <c r="J181" s="1286"/>
      <c r="K181" s="1285"/>
      <c r="O181" s="1279"/>
      <c r="P181" s="1280"/>
      <c r="Q181" s="1281"/>
      <c r="R181" s="1281"/>
      <c r="S181" s="13" t="s">
        <v>510</v>
      </c>
      <c r="T181" s="1283" t="s">
        <v>2</v>
      </c>
      <c r="U181" s="1287">
        <v>94356.197211735242</v>
      </c>
      <c r="V181" s="1287">
        <f>V11+V13+V15+V17+V25+V19+V21+V23+V27+V29+V31+V33+V35+V37+V39+V41+V43+V45+V47+V49+V53+V55+V57+V59+V61+V65+V71+V73+V75+V77+V79+V81+V83+V85+V87+V89+V91+V93+V95+V97+V99+V101+V103+V105+V107+V109+V111+V113+V115+V117+V119+V121+V123+V125+V127+V129</f>
        <v>533038.9914139777</v>
      </c>
      <c r="W181" s="1287">
        <f>W11+W13+W15+W17+W25+W19+W21+W23+W27+W29+W31+W33+W35+W37+W39+W41+W43+W45+W47+W49+W53+W55+W57+W59+W61+W63+W65+W67+W69+W71+W73+W75+W77+W79+W81+W83+W85+W87+W89+W91+W93+W95+W97+W99+W101+W103+W105+W107+W109+W111+W113+W115+W117+W119+W121+W123+W125+W127+W129+W131+W133+W135</f>
        <v>593332.50107748352</v>
      </c>
      <c r="X181" s="1307">
        <f>SUMIF($S$10:$S$139,$T$181,X$10:X$139)</f>
        <v>1047339.1639484833</v>
      </c>
      <c r="Y181" s="1287">
        <f t="shared" ref="Y181:AF181" si="23">SUMIF($S$10:$S$139,$T$181,Y$10:Y$139)</f>
        <v>976966.16682587541</v>
      </c>
      <c r="Z181" s="1287">
        <f t="shared" si="23"/>
        <v>910523.28030026716</v>
      </c>
      <c r="AA181" s="1287">
        <f t="shared" si="23"/>
        <v>845460.85778495891</v>
      </c>
      <c r="AB181" s="1287">
        <f t="shared" si="23"/>
        <v>781334.2742693508</v>
      </c>
      <c r="AC181" s="1287">
        <f t="shared" si="23"/>
        <v>719964.37003374239</v>
      </c>
      <c r="AD181" s="1287">
        <f t="shared" si="23"/>
        <v>659690.06064813479</v>
      </c>
      <c r="AE181" s="1287">
        <f t="shared" si="23"/>
        <v>9482727.60898274</v>
      </c>
      <c r="AF181" s="1307">
        <f t="shared" si="23"/>
        <v>15424005.78279355</v>
      </c>
    </row>
    <row r="182" spans="1:34" ht="13.5" customHeight="1" thickBot="1" x14ac:dyDescent="0.3">
      <c r="H182" s="1277"/>
      <c r="I182" s="1296"/>
      <c r="J182" s="1297"/>
      <c r="K182" s="1296"/>
      <c r="L182" s="1198"/>
      <c r="M182" s="1198"/>
      <c r="N182" s="1198"/>
      <c r="O182" s="1303"/>
      <c r="P182" s="1304"/>
      <c r="Q182" s="96"/>
      <c r="R182" s="96"/>
      <c r="S182" s="96" t="s">
        <v>511</v>
      </c>
      <c r="T182" s="1287"/>
      <c r="U182" s="1287">
        <v>30726.948659999998</v>
      </c>
      <c r="V182" s="1287">
        <f>V13+V15+V17+V19+V27+V21+V23+V25+V29+V31+V33+V35+V37+V39+V41+V43+V45+V47+V49+V53+V55+V57+V59+V61+V65+V71+V73+V75+V77+V79+V81+V83+V85+V87+V89+V91+V93+V95+V97+V99+V101+V103+V105+V107+V109+V111+V113+V115+V117+V119+V121+V123+V125+V127+V141</f>
        <v>501122.22546546825</v>
      </c>
      <c r="W182" s="1287">
        <f>W168</f>
        <v>76283.630300000004</v>
      </c>
      <c r="X182" s="1308">
        <f t="shared" ref="X182" si="24">X168</f>
        <v>84698.003460000007</v>
      </c>
      <c r="Y182" s="1295">
        <f t="shared" ref="Y182:AE182" si="25">Y168</f>
        <v>149004.2405284112</v>
      </c>
      <c r="Z182" s="1295">
        <f t="shared" si="25"/>
        <v>162673.76002672897</v>
      </c>
      <c r="AA182" s="1295">
        <f t="shared" si="25"/>
        <v>139402.97130074765</v>
      </c>
      <c r="AB182" s="1295">
        <f t="shared" si="25"/>
        <v>137496.08257476633</v>
      </c>
      <c r="AC182" s="1295">
        <f t="shared" si="25"/>
        <v>135589.19384878504</v>
      </c>
      <c r="AD182" s="1295">
        <f t="shared" si="25"/>
        <v>133682.30512280372</v>
      </c>
      <c r="AE182" s="1295">
        <f t="shared" si="25"/>
        <v>2598167.576293271</v>
      </c>
      <c r="AF182" s="1308">
        <f t="shared" ref="AF182" si="26">AF168</f>
        <v>3540714.1331555145</v>
      </c>
    </row>
    <row r="183" spans="1:34" x14ac:dyDescent="0.25">
      <c r="B183" s="1282"/>
      <c r="D183" s="1278"/>
      <c r="H183" s="7"/>
      <c r="I183" s="850"/>
      <c r="J183" s="1286"/>
      <c r="K183" s="850"/>
      <c r="O183" s="1279"/>
      <c r="P183" s="1280"/>
      <c r="Q183" s="93"/>
      <c r="R183" s="93"/>
      <c r="S183" s="13" t="s">
        <v>512</v>
      </c>
      <c r="T183" s="1288"/>
      <c r="U183" s="1287">
        <v>1202458.8890500893</v>
      </c>
      <c r="V183" s="1287">
        <f t="shared" ref="V183:AE183" si="27">SUM(V180:V182)</f>
        <v>4581215.9200577997</v>
      </c>
      <c r="W183" s="1287">
        <f t="shared" si="27"/>
        <v>3794109.7313774829</v>
      </c>
      <c r="X183" s="1307">
        <f t="shared" si="27"/>
        <v>4733927.3053302942</v>
      </c>
      <c r="Y183" s="1287">
        <f t="shared" si="27"/>
        <v>4521130.2452760972</v>
      </c>
      <c r="Z183" s="1287">
        <f t="shared" si="27"/>
        <v>4396469.2082488062</v>
      </c>
      <c r="AA183" s="1287">
        <f t="shared" si="27"/>
        <v>4260278.6670075171</v>
      </c>
      <c r="AB183" s="1287">
        <f t="shared" si="27"/>
        <v>4052197.1947659273</v>
      </c>
      <c r="AC183" s="1287">
        <f t="shared" si="27"/>
        <v>3933805.4018043377</v>
      </c>
      <c r="AD183" s="1287">
        <f t="shared" si="27"/>
        <v>3808495.2036927491</v>
      </c>
      <c r="AE183" s="1287">
        <f t="shared" si="27"/>
        <v>43039125.903979719</v>
      </c>
      <c r="AF183" s="1307">
        <f>SUM(AF180:AF182)</f>
        <v>72745429.130105436</v>
      </c>
    </row>
    <row r="184" spans="1:34" x14ac:dyDescent="0.25">
      <c r="B184" s="97"/>
      <c r="S184" s="13"/>
      <c r="X184" s="93"/>
      <c r="Y184" s="93"/>
      <c r="Z184" s="93"/>
      <c r="AA184" s="93"/>
      <c r="AB184" s="93"/>
      <c r="AC184" s="93"/>
      <c r="AD184" s="93"/>
      <c r="AE184" s="93"/>
      <c r="AF184" s="93"/>
    </row>
    <row r="185" spans="1:34" s="99" customFormat="1" ht="18" x14ac:dyDescent="0.35">
      <c r="A185" s="1294" t="s">
        <v>1521</v>
      </c>
      <c r="B185" s="1289"/>
      <c r="C185" s="1290"/>
      <c r="D185" s="1291"/>
      <c r="E185" s="206"/>
      <c r="F185" s="206"/>
      <c r="G185" s="1291"/>
      <c r="H185" s="1292"/>
      <c r="I185" s="1293" t="s">
        <v>1522</v>
      </c>
      <c r="J185" s="100"/>
      <c r="O185" s="207"/>
      <c r="P185" s="207"/>
      <c r="T185" s="273"/>
      <c r="U185" s="98"/>
      <c r="V185" s="93"/>
      <c r="W185" s="93"/>
      <c r="X185" s="93"/>
      <c r="Y185" s="93"/>
      <c r="Z185" s="93"/>
      <c r="AA185" s="93"/>
      <c r="AB185" s="93"/>
      <c r="AC185" s="93"/>
      <c r="AD185" s="93"/>
      <c r="AE185" s="93"/>
      <c r="AF185" s="93"/>
      <c r="AG185" s="852"/>
      <c r="AH185" s="852"/>
    </row>
    <row r="186" spans="1:34" ht="18" x14ac:dyDescent="0.35">
      <c r="S186" s="497"/>
      <c r="T186" s="498"/>
      <c r="U186" s="98"/>
      <c r="V186" s="93"/>
      <c r="W186" s="93">
        <f>(SUM(W180:AC180)+AE180)*0.0025</f>
        <v>134725.19994058643</v>
      </c>
      <c r="X186" s="93"/>
      <c r="Y186" s="93"/>
      <c r="Z186" s="93"/>
      <c r="AA186" s="93"/>
      <c r="AB186" s="93"/>
      <c r="AC186" s="93"/>
      <c r="AD186" s="93"/>
      <c r="AE186" s="93"/>
      <c r="AF186" s="93"/>
    </row>
    <row r="187" spans="1:34" x14ac:dyDescent="0.25">
      <c r="U187" s="850">
        <v>1077375.7431783541</v>
      </c>
      <c r="V187" s="855">
        <v>3547054.7031783541</v>
      </c>
      <c r="W187" s="855">
        <v>3124493.5999999996</v>
      </c>
      <c r="X187" s="855"/>
      <c r="Y187" s="855"/>
      <c r="Z187" s="855"/>
      <c r="AA187" s="855"/>
      <c r="AB187" s="855"/>
      <c r="AC187" s="855"/>
      <c r="AD187" s="855"/>
      <c r="AE187" s="855"/>
      <c r="AF187" s="855"/>
    </row>
    <row r="188" spans="1:34" s="12" customFormat="1" x14ac:dyDescent="0.25">
      <c r="A188" s="375"/>
      <c r="C188" s="3"/>
      <c r="E188" s="208"/>
      <c r="F188" s="101"/>
      <c r="H188" s="10"/>
      <c r="I188" s="11"/>
      <c r="J188" s="10"/>
      <c r="K188" s="102"/>
      <c r="O188" s="172"/>
      <c r="P188" s="173"/>
      <c r="Q188" s="9"/>
      <c r="R188" s="103"/>
      <c r="T188" s="274"/>
      <c r="U188" s="855">
        <v>94356.197211735242</v>
      </c>
      <c r="V188" s="855">
        <v>112548.28825480334</v>
      </c>
      <c r="W188" s="855">
        <v>159987.50045877087</v>
      </c>
      <c r="X188" s="855"/>
      <c r="Y188" s="855"/>
      <c r="Z188" s="855"/>
      <c r="AA188" s="855"/>
      <c r="AB188" s="855"/>
      <c r="AC188" s="855"/>
      <c r="AD188" s="855"/>
      <c r="AE188" s="855"/>
      <c r="AF188" s="855"/>
      <c r="AG188" s="853"/>
      <c r="AH188" s="853"/>
    </row>
    <row r="189" spans="1:34" s="12" customFormat="1" x14ac:dyDescent="0.25">
      <c r="A189" s="375"/>
      <c r="C189" s="3"/>
      <c r="E189" s="208"/>
      <c r="F189" s="101"/>
      <c r="H189" s="10"/>
      <c r="I189" s="11"/>
      <c r="J189" s="10"/>
      <c r="K189" s="102"/>
      <c r="O189" s="172"/>
      <c r="P189" s="173"/>
      <c r="Q189" s="3"/>
      <c r="T189" s="268"/>
      <c r="U189" s="850">
        <v>30726.948659999998</v>
      </c>
      <c r="V189" s="855">
        <v>107315.78245857952</v>
      </c>
      <c r="W189" s="855">
        <v>45076.740300000005</v>
      </c>
      <c r="X189" s="855"/>
      <c r="Y189" s="855"/>
      <c r="Z189" s="855"/>
      <c r="AA189" s="855"/>
      <c r="AB189" s="855"/>
      <c r="AC189" s="855"/>
      <c r="AD189" s="855"/>
      <c r="AE189" s="855"/>
      <c r="AF189" s="855"/>
      <c r="AG189" s="853"/>
      <c r="AH189" s="853"/>
    </row>
    <row r="190" spans="1:34" s="12" customFormat="1" x14ac:dyDescent="0.25">
      <c r="A190" s="375"/>
      <c r="C190" s="3"/>
      <c r="E190" s="208"/>
      <c r="F190" s="101"/>
      <c r="H190" s="10"/>
      <c r="I190" s="11"/>
      <c r="J190" s="10"/>
      <c r="K190" s="102"/>
      <c r="O190" s="172"/>
      <c r="P190" s="173"/>
      <c r="Q190" s="3"/>
      <c r="T190" s="268"/>
      <c r="U190" s="850">
        <v>1202458.8890500893</v>
      </c>
      <c r="V190" s="855">
        <v>3766918.7738917372</v>
      </c>
      <c r="W190" s="855">
        <v>3329557.8407587707</v>
      </c>
      <c r="X190" s="855"/>
      <c r="Y190" s="855"/>
      <c r="Z190" s="855"/>
      <c r="AA190" s="855"/>
      <c r="AB190" s="855"/>
      <c r="AC190" s="855"/>
      <c r="AD190" s="855"/>
      <c r="AE190" s="855"/>
      <c r="AF190" s="855"/>
      <c r="AG190" s="853"/>
      <c r="AH190" s="853"/>
    </row>
    <row r="191" spans="1:34" s="12" customFormat="1" x14ac:dyDescent="0.25">
      <c r="A191" s="375"/>
      <c r="C191" s="3"/>
      <c r="E191" s="208"/>
      <c r="F191" s="101"/>
      <c r="H191" s="10"/>
      <c r="I191" s="11"/>
      <c r="J191" s="10"/>
      <c r="K191" s="102"/>
      <c r="O191" s="172"/>
      <c r="P191" s="173"/>
      <c r="Q191" s="3"/>
      <c r="T191" s="268"/>
      <c r="U191" s="9"/>
      <c r="V191" s="93"/>
      <c r="W191" s="93"/>
      <c r="X191" s="93"/>
      <c r="Y191" s="93"/>
      <c r="Z191" s="93"/>
      <c r="AA191" s="93"/>
      <c r="AB191" s="93"/>
      <c r="AC191" s="93"/>
      <c r="AD191" s="93"/>
      <c r="AE191" s="93"/>
      <c r="AF191" s="93"/>
      <c r="AG191" s="853"/>
      <c r="AH191" s="853"/>
    </row>
    <row r="192" spans="1:34" s="12" customFormat="1" x14ac:dyDescent="0.25">
      <c r="A192" s="375"/>
      <c r="C192" s="3"/>
      <c r="E192" s="208"/>
      <c r="F192" s="101"/>
      <c r="H192" s="10"/>
      <c r="I192" s="11"/>
      <c r="J192" s="10"/>
      <c r="K192" s="102"/>
      <c r="O192" s="172"/>
      <c r="P192" s="173"/>
      <c r="Q192" s="3"/>
      <c r="T192" s="268"/>
      <c r="U192" s="9"/>
      <c r="V192" s="93"/>
      <c r="W192" s="93"/>
      <c r="X192" s="93"/>
      <c r="Y192" s="93"/>
      <c r="Z192" s="93"/>
      <c r="AA192" s="93"/>
      <c r="AB192" s="93"/>
      <c r="AC192" s="93"/>
      <c r="AD192" s="93"/>
      <c r="AE192" s="93"/>
      <c r="AF192" s="93"/>
      <c r="AG192" s="853"/>
      <c r="AH192" s="853"/>
    </row>
    <row r="193" spans="1:34" s="12" customFormat="1" x14ac:dyDescent="0.25">
      <c r="A193" s="375"/>
      <c r="C193" s="3"/>
      <c r="E193" s="208"/>
      <c r="F193" s="101"/>
      <c r="H193" s="10"/>
      <c r="I193" s="11"/>
      <c r="J193" s="10"/>
      <c r="K193" s="102"/>
      <c r="O193" s="172"/>
      <c r="P193" s="173"/>
      <c r="Q193" s="3"/>
      <c r="T193" s="268"/>
      <c r="U193" s="9"/>
      <c r="V193" s="93"/>
      <c r="W193" s="93"/>
      <c r="X193" s="93"/>
      <c r="Y193" s="93"/>
      <c r="Z193" s="93"/>
      <c r="AA193" s="93"/>
      <c r="AB193" s="93"/>
      <c r="AC193" s="93"/>
      <c r="AD193" s="93"/>
      <c r="AE193" s="93"/>
      <c r="AF193" s="93"/>
      <c r="AG193" s="853"/>
      <c r="AH193" s="853"/>
    </row>
    <row r="194" spans="1:34" s="12" customFormat="1" x14ac:dyDescent="0.25">
      <c r="A194" s="375"/>
      <c r="C194" s="3"/>
      <c r="E194" s="208"/>
      <c r="F194" s="101"/>
      <c r="H194" s="10"/>
      <c r="I194" s="11"/>
      <c r="J194" s="10"/>
      <c r="K194" s="102"/>
      <c r="O194" s="172"/>
      <c r="P194" s="173"/>
      <c r="Q194" s="3"/>
      <c r="T194" s="275"/>
      <c r="U194" s="1173"/>
      <c r="V194" s="93"/>
      <c r="W194" s="93"/>
      <c r="X194" s="93"/>
      <c r="Y194" s="93"/>
      <c r="Z194" s="93"/>
      <c r="AA194" s="93"/>
      <c r="AB194" s="93"/>
      <c r="AC194" s="93"/>
      <c r="AD194" s="93"/>
      <c r="AE194" s="93"/>
      <c r="AF194" s="93"/>
      <c r="AG194" s="853"/>
      <c r="AH194" s="853"/>
    </row>
    <row r="195" spans="1:34" s="12" customFormat="1" x14ac:dyDescent="0.25">
      <c r="A195" s="375"/>
      <c r="C195" s="3"/>
      <c r="E195" s="208"/>
      <c r="F195" s="101"/>
      <c r="H195" s="10"/>
      <c r="I195" s="11"/>
      <c r="J195" s="10"/>
      <c r="K195" s="102"/>
      <c r="O195" s="172"/>
      <c r="P195" s="173"/>
      <c r="Q195" s="3"/>
      <c r="T195" s="275"/>
      <c r="U195" s="1173"/>
      <c r="V195" s="93"/>
      <c r="W195" s="93"/>
      <c r="X195" s="93"/>
      <c r="Y195" s="93"/>
      <c r="Z195" s="93"/>
      <c r="AA195" s="93"/>
      <c r="AB195" s="93"/>
      <c r="AC195" s="93"/>
      <c r="AD195" s="93"/>
      <c r="AE195" s="93"/>
      <c r="AF195" s="93"/>
      <c r="AG195" s="853"/>
      <c r="AH195" s="853"/>
    </row>
    <row r="196" spans="1:34" s="12" customFormat="1" x14ac:dyDescent="0.25">
      <c r="A196" s="375"/>
      <c r="C196" s="3"/>
      <c r="E196" s="208"/>
      <c r="F196" s="101"/>
      <c r="H196" s="10"/>
      <c r="I196" s="11"/>
      <c r="J196" s="10"/>
      <c r="K196" s="102"/>
      <c r="O196" s="172"/>
      <c r="P196" s="173"/>
      <c r="Q196" s="3"/>
      <c r="T196" s="268"/>
      <c r="U196" s="9"/>
      <c r="V196" s="9"/>
      <c r="W196" s="9"/>
      <c r="X196" s="103"/>
      <c r="Y196" s="103"/>
      <c r="Z196" s="103"/>
      <c r="AA196" s="103"/>
      <c r="AB196" s="103"/>
      <c r="AC196" s="103"/>
      <c r="AD196" s="103"/>
      <c r="AE196" s="9"/>
      <c r="AF196" s="9"/>
      <c r="AG196" s="853"/>
      <c r="AH196" s="853"/>
    </row>
    <row r="197" spans="1:34" s="12" customFormat="1" x14ac:dyDescent="0.25">
      <c r="A197" s="375"/>
      <c r="C197" s="3"/>
      <c r="E197" s="208"/>
      <c r="F197" s="101"/>
      <c r="H197" s="10"/>
      <c r="I197" s="11"/>
      <c r="J197" s="10"/>
      <c r="K197" s="102"/>
      <c r="O197" s="172"/>
      <c r="P197" s="173"/>
      <c r="Q197" s="3"/>
      <c r="T197" s="268"/>
      <c r="U197" s="9"/>
      <c r="V197" s="9"/>
      <c r="W197" s="9"/>
      <c r="X197" s="103"/>
      <c r="Y197" s="103"/>
      <c r="Z197" s="103"/>
      <c r="AA197" s="103"/>
      <c r="AB197" s="103"/>
      <c r="AC197" s="103"/>
      <c r="AD197" s="103"/>
      <c r="AE197" s="9"/>
      <c r="AF197" s="9"/>
      <c r="AG197" s="853"/>
      <c r="AH197" s="853"/>
    </row>
    <row r="198" spans="1:34" s="12" customFormat="1" x14ac:dyDescent="0.25">
      <c r="A198" s="375"/>
      <c r="C198" s="3"/>
      <c r="E198" s="208"/>
      <c r="F198" s="101"/>
      <c r="H198" s="10"/>
      <c r="I198" s="11"/>
      <c r="J198" s="10"/>
      <c r="K198" s="102"/>
      <c r="O198" s="172"/>
      <c r="P198" s="173"/>
      <c r="Q198" s="3"/>
      <c r="T198" s="268"/>
      <c r="U198" s="9"/>
      <c r="V198" s="9"/>
      <c r="W198" s="9"/>
      <c r="X198" s="103"/>
      <c r="Y198" s="103"/>
      <c r="Z198" s="103"/>
      <c r="AA198" s="103"/>
      <c r="AB198" s="103"/>
      <c r="AC198" s="103"/>
      <c r="AD198" s="103"/>
      <c r="AE198" s="9"/>
      <c r="AF198" s="9"/>
      <c r="AG198" s="853"/>
      <c r="AH198" s="853"/>
    </row>
    <row r="199" spans="1:34" s="12" customFormat="1" x14ac:dyDescent="0.25">
      <c r="A199" s="375"/>
      <c r="C199" s="3"/>
      <c r="E199" s="208"/>
      <c r="F199" s="101"/>
      <c r="H199" s="10"/>
      <c r="I199" s="11"/>
      <c r="J199" s="10"/>
      <c r="K199" s="102"/>
      <c r="O199" s="172"/>
      <c r="P199" s="173"/>
      <c r="Q199" s="3"/>
      <c r="T199" s="268"/>
      <c r="U199" s="9"/>
      <c r="V199" s="9"/>
      <c r="W199" s="9"/>
      <c r="X199" s="103"/>
      <c r="Y199" s="103"/>
      <c r="Z199" s="103"/>
      <c r="AA199" s="103"/>
      <c r="AB199" s="103"/>
      <c r="AC199" s="103"/>
      <c r="AD199" s="103"/>
      <c r="AE199" s="9"/>
      <c r="AF199" s="9"/>
      <c r="AG199" s="853"/>
      <c r="AH199" s="853"/>
    </row>
    <row r="200" spans="1:34" s="12" customFormat="1" x14ac:dyDescent="0.25">
      <c r="A200" s="375"/>
      <c r="C200" s="3"/>
      <c r="E200" s="208"/>
      <c r="F200" s="101"/>
      <c r="H200" s="10"/>
      <c r="I200" s="11"/>
      <c r="J200" s="10"/>
      <c r="K200" s="102"/>
      <c r="O200" s="172"/>
      <c r="P200" s="173"/>
      <c r="Q200" s="3"/>
      <c r="T200" s="268"/>
      <c r="U200" s="9"/>
      <c r="V200" s="9"/>
      <c r="W200" s="9"/>
      <c r="X200" s="103"/>
      <c r="Y200" s="103"/>
      <c r="Z200" s="103"/>
      <c r="AA200" s="103"/>
      <c r="AB200" s="103"/>
      <c r="AC200" s="103"/>
      <c r="AD200" s="103"/>
      <c r="AE200" s="9"/>
      <c r="AF200" s="9"/>
      <c r="AG200" s="853"/>
      <c r="AH200" s="853"/>
    </row>
    <row r="201" spans="1:34" s="12" customFormat="1" x14ac:dyDescent="0.25">
      <c r="A201" s="375"/>
      <c r="C201" s="3"/>
      <c r="E201" s="208"/>
      <c r="F201" s="101"/>
      <c r="H201" s="10"/>
      <c r="I201" s="11"/>
      <c r="J201" s="10"/>
      <c r="K201" s="102"/>
      <c r="O201" s="172"/>
      <c r="P201" s="173"/>
      <c r="Q201" s="3"/>
      <c r="T201" s="268"/>
      <c r="U201" s="9"/>
      <c r="V201" s="9"/>
      <c r="W201" s="9"/>
      <c r="X201" s="103"/>
      <c r="Y201" s="103"/>
      <c r="Z201" s="103"/>
      <c r="AA201" s="103"/>
      <c r="AB201" s="103"/>
      <c r="AC201" s="103"/>
      <c r="AD201" s="103"/>
      <c r="AE201" s="9"/>
      <c r="AF201" s="9"/>
      <c r="AG201" s="853"/>
      <c r="AH201" s="853"/>
    </row>
    <row r="202" spans="1:34" s="12" customFormat="1" x14ac:dyDescent="0.25">
      <c r="A202" s="375"/>
      <c r="C202" s="3"/>
      <c r="E202" s="208"/>
      <c r="F202" s="101"/>
      <c r="H202" s="10"/>
      <c r="I202" s="11"/>
      <c r="J202" s="10"/>
      <c r="K202" s="102"/>
      <c r="O202" s="172"/>
      <c r="P202" s="173"/>
      <c r="Q202" s="3"/>
      <c r="T202" s="268"/>
      <c r="U202" s="9"/>
      <c r="V202" s="9"/>
      <c r="W202" s="9"/>
      <c r="X202" s="103"/>
      <c r="Y202" s="103"/>
      <c r="Z202" s="103"/>
      <c r="AA202" s="103"/>
      <c r="AB202" s="103"/>
      <c r="AC202" s="103"/>
      <c r="AD202" s="103"/>
      <c r="AE202" s="9"/>
      <c r="AF202" s="9"/>
      <c r="AG202" s="853"/>
      <c r="AH202" s="853"/>
    </row>
    <row r="203" spans="1:34" s="12" customFormat="1" x14ac:dyDescent="0.25">
      <c r="A203" s="375"/>
      <c r="C203" s="3"/>
      <c r="E203" s="208"/>
      <c r="F203" s="101"/>
      <c r="H203" s="10"/>
      <c r="I203" s="11"/>
      <c r="J203" s="10"/>
      <c r="K203" s="102"/>
      <c r="O203" s="172"/>
      <c r="P203" s="173"/>
      <c r="Q203" s="3"/>
      <c r="T203" s="268"/>
      <c r="U203" s="9"/>
      <c r="V203" s="9"/>
      <c r="W203" s="9"/>
      <c r="X203" s="103"/>
      <c r="Y203" s="103"/>
      <c r="Z203" s="103"/>
      <c r="AA203" s="103"/>
      <c r="AB203" s="103"/>
      <c r="AC203" s="103"/>
      <c r="AD203" s="103"/>
      <c r="AE203" s="9"/>
      <c r="AF203" s="9"/>
      <c r="AG203" s="853"/>
      <c r="AH203" s="853"/>
    </row>
    <row r="204" spans="1:34" s="12" customFormat="1" x14ac:dyDescent="0.25">
      <c r="A204" s="375"/>
      <c r="C204" s="3"/>
      <c r="E204" s="208"/>
      <c r="F204" s="101"/>
      <c r="H204" s="10"/>
      <c r="I204" s="11"/>
      <c r="J204" s="10"/>
      <c r="K204" s="102"/>
      <c r="O204" s="172"/>
      <c r="P204" s="173"/>
      <c r="Q204" s="3"/>
      <c r="T204" s="268"/>
      <c r="U204" s="9"/>
      <c r="V204" s="9"/>
      <c r="W204" s="9"/>
      <c r="X204" s="103"/>
      <c r="Y204" s="103"/>
      <c r="Z204" s="103"/>
      <c r="AA204" s="103"/>
      <c r="AB204" s="103"/>
      <c r="AC204" s="103"/>
      <c r="AD204" s="103"/>
      <c r="AE204" s="9"/>
      <c r="AF204" s="9"/>
      <c r="AG204" s="853"/>
      <c r="AH204" s="853"/>
    </row>
    <row r="205" spans="1:34" s="12" customFormat="1" x14ac:dyDescent="0.25">
      <c r="A205" s="375"/>
      <c r="C205" s="3"/>
      <c r="E205" s="208"/>
      <c r="F205" s="101"/>
      <c r="H205" s="10"/>
      <c r="I205" s="11"/>
      <c r="J205" s="10"/>
      <c r="K205" s="102"/>
      <c r="O205" s="172"/>
      <c r="P205" s="173"/>
      <c r="Q205" s="3"/>
      <c r="T205" s="268"/>
      <c r="U205" s="9"/>
      <c r="V205" s="9"/>
      <c r="W205" s="9"/>
      <c r="X205" s="103"/>
      <c r="Y205" s="103"/>
      <c r="Z205" s="103"/>
      <c r="AA205" s="103"/>
      <c r="AB205" s="103"/>
      <c r="AC205" s="103"/>
      <c r="AD205" s="103"/>
      <c r="AE205" s="9"/>
      <c r="AF205" s="9"/>
      <c r="AG205" s="853"/>
      <c r="AH205" s="853"/>
    </row>
    <row r="206" spans="1:34" s="12" customFormat="1" x14ac:dyDescent="0.25">
      <c r="A206" s="375"/>
      <c r="C206" s="3"/>
      <c r="E206" s="208"/>
      <c r="F206" s="101"/>
      <c r="H206" s="10"/>
      <c r="I206" s="11"/>
      <c r="J206" s="10"/>
      <c r="K206" s="102"/>
      <c r="O206" s="172"/>
      <c r="P206" s="173"/>
      <c r="Q206" s="3"/>
      <c r="T206" s="268"/>
      <c r="U206" s="9"/>
      <c r="V206" s="9"/>
      <c r="W206" s="9"/>
      <c r="X206" s="103"/>
      <c r="Y206" s="103"/>
      <c r="Z206" s="103"/>
      <c r="AA206" s="103"/>
      <c r="AB206" s="103"/>
      <c r="AC206" s="103"/>
      <c r="AD206" s="103"/>
      <c r="AE206" s="9"/>
      <c r="AF206" s="9"/>
      <c r="AG206" s="853"/>
      <c r="AH206" s="853"/>
    </row>
    <row r="207" spans="1:34" s="12" customFormat="1" x14ac:dyDescent="0.25">
      <c r="A207" s="375"/>
      <c r="C207" s="3"/>
      <c r="E207" s="208"/>
      <c r="F207" s="101"/>
      <c r="H207" s="10"/>
      <c r="I207" s="11"/>
      <c r="J207" s="10"/>
      <c r="K207" s="102"/>
      <c r="O207" s="172"/>
      <c r="P207" s="173"/>
      <c r="Q207" s="3"/>
      <c r="T207" s="268"/>
      <c r="U207" s="9"/>
      <c r="V207" s="9"/>
      <c r="W207" s="9"/>
      <c r="X207" s="103"/>
      <c r="Y207" s="103"/>
      <c r="Z207" s="103"/>
      <c r="AA207" s="103"/>
      <c r="AB207" s="103"/>
      <c r="AC207" s="103"/>
      <c r="AD207" s="103"/>
      <c r="AE207" s="9"/>
      <c r="AF207" s="9"/>
      <c r="AG207" s="853"/>
      <c r="AH207" s="853"/>
    </row>
    <row r="208" spans="1:34" s="12" customFormat="1" x14ac:dyDescent="0.25">
      <c r="A208" s="375"/>
      <c r="C208" s="3"/>
      <c r="E208" s="208"/>
      <c r="F208" s="101"/>
      <c r="H208" s="10"/>
      <c r="I208" s="11"/>
      <c r="J208" s="10"/>
      <c r="K208" s="102"/>
      <c r="O208" s="172"/>
      <c r="P208" s="173"/>
      <c r="Q208" s="3"/>
      <c r="T208" s="268"/>
      <c r="U208" s="9"/>
      <c r="V208" s="9"/>
      <c r="W208" s="9"/>
      <c r="X208" s="103"/>
      <c r="Y208" s="103"/>
      <c r="Z208" s="103"/>
      <c r="AA208" s="103"/>
      <c r="AB208" s="103"/>
      <c r="AC208" s="103"/>
      <c r="AD208" s="103"/>
      <c r="AE208" s="9"/>
      <c r="AF208" s="9"/>
      <c r="AG208" s="853"/>
      <c r="AH208" s="853"/>
    </row>
    <row r="209" spans="1:34" s="12" customFormat="1" x14ac:dyDescent="0.25">
      <c r="A209" s="375"/>
      <c r="C209" s="3"/>
      <c r="E209" s="208"/>
      <c r="F209" s="101"/>
      <c r="H209" s="10"/>
      <c r="I209" s="11"/>
      <c r="J209" s="10"/>
      <c r="K209" s="102"/>
      <c r="O209" s="172"/>
      <c r="P209" s="173"/>
      <c r="Q209" s="3"/>
      <c r="T209" s="268"/>
      <c r="U209" s="9"/>
      <c r="V209" s="9"/>
      <c r="W209" s="9"/>
      <c r="X209" s="103"/>
      <c r="Y209" s="103"/>
      <c r="Z209" s="103"/>
      <c r="AA209" s="103"/>
      <c r="AB209" s="103"/>
      <c r="AC209" s="103"/>
      <c r="AD209" s="103"/>
      <c r="AE209" s="9"/>
      <c r="AF209" s="9"/>
      <c r="AG209" s="853"/>
      <c r="AH209" s="853"/>
    </row>
    <row r="210" spans="1:34" s="12" customFormat="1" x14ac:dyDescent="0.25">
      <c r="A210" s="375"/>
      <c r="C210" s="3"/>
      <c r="E210" s="208"/>
      <c r="F210" s="101"/>
      <c r="H210" s="10"/>
      <c r="I210" s="11"/>
      <c r="J210" s="10"/>
      <c r="K210" s="102"/>
      <c r="O210" s="172"/>
      <c r="P210" s="173"/>
      <c r="Q210" s="3"/>
      <c r="T210" s="268"/>
      <c r="U210" s="9"/>
      <c r="V210" s="9"/>
      <c r="W210" s="9"/>
      <c r="X210" s="103"/>
      <c r="Y210" s="103"/>
      <c r="Z210" s="103"/>
      <c r="AA210" s="103"/>
      <c r="AB210" s="103"/>
      <c r="AC210" s="103"/>
      <c r="AD210" s="103"/>
      <c r="AE210" s="9"/>
      <c r="AF210" s="9"/>
      <c r="AG210" s="853"/>
      <c r="AH210" s="853"/>
    </row>
    <row r="211" spans="1:34" s="12" customFormat="1" x14ac:dyDescent="0.25">
      <c r="A211" s="375"/>
      <c r="C211" s="3"/>
      <c r="E211" s="208"/>
      <c r="F211" s="101"/>
      <c r="H211" s="10"/>
      <c r="I211" s="11"/>
      <c r="J211" s="10"/>
      <c r="K211" s="102"/>
      <c r="O211" s="172"/>
      <c r="P211" s="173"/>
      <c r="Q211" s="3"/>
      <c r="T211" s="268"/>
      <c r="U211" s="9"/>
      <c r="V211" s="9"/>
      <c r="W211" s="9"/>
      <c r="X211" s="103"/>
      <c r="Y211" s="103"/>
      <c r="Z211" s="103"/>
      <c r="AA211" s="103"/>
      <c r="AB211" s="103"/>
      <c r="AC211" s="103"/>
      <c r="AD211" s="103"/>
      <c r="AE211" s="9"/>
      <c r="AF211" s="9"/>
      <c r="AG211" s="853"/>
      <c r="AH211" s="853"/>
    </row>
    <row r="212" spans="1:34" s="12" customFormat="1" x14ac:dyDescent="0.25">
      <c r="A212" s="375"/>
      <c r="C212" s="3"/>
      <c r="E212" s="208"/>
      <c r="F212" s="101"/>
      <c r="H212" s="10"/>
      <c r="I212" s="11"/>
      <c r="J212" s="10"/>
      <c r="K212" s="102"/>
      <c r="O212" s="172"/>
      <c r="P212" s="173"/>
      <c r="Q212" s="3"/>
      <c r="T212" s="268"/>
      <c r="U212" s="9"/>
      <c r="V212" s="9"/>
      <c r="W212" s="9"/>
      <c r="X212" s="103"/>
      <c r="Y212" s="103"/>
      <c r="Z212" s="103"/>
      <c r="AA212" s="103"/>
      <c r="AB212" s="103"/>
      <c r="AC212" s="103"/>
      <c r="AD212" s="103"/>
      <c r="AE212" s="9"/>
      <c r="AF212" s="9"/>
      <c r="AG212" s="853"/>
      <c r="AH212" s="853"/>
    </row>
    <row r="213" spans="1:34" s="12" customFormat="1" x14ac:dyDescent="0.25">
      <c r="A213" s="375"/>
      <c r="C213" s="3"/>
      <c r="E213" s="208"/>
      <c r="F213" s="101"/>
      <c r="H213" s="10"/>
      <c r="I213" s="11"/>
      <c r="J213" s="10"/>
      <c r="K213" s="102"/>
      <c r="O213" s="172"/>
      <c r="P213" s="173"/>
      <c r="Q213" s="3"/>
      <c r="T213" s="268"/>
      <c r="U213" s="9"/>
      <c r="V213" s="9"/>
      <c r="W213" s="9"/>
      <c r="X213" s="103"/>
      <c r="Y213" s="103"/>
      <c r="Z213" s="103"/>
      <c r="AA213" s="103"/>
      <c r="AB213" s="103"/>
      <c r="AC213" s="103"/>
      <c r="AD213" s="103"/>
      <c r="AE213" s="9"/>
      <c r="AF213" s="9"/>
      <c r="AG213" s="853"/>
      <c r="AH213" s="853"/>
    </row>
    <row r="214" spans="1:34" s="12" customFormat="1" x14ac:dyDescent="0.25">
      <c r="A214" s="375"/>
      <c r="C214" s="3"/>
      <c r="E214" s="208"/>
      <c r="F214" s="101"/>
      <c r="H214" s="10"/>
      <c r="I214" s="11"/>
      <c r="J214" s="10"/>
      <c r="K214" s="102"/>
      <c r="O214" s="172"/>
      <c r="P214" s="173"/>
      <c r="Q214" s="3"/>
      <c r="T214" s="268"/>
      <c r="U214" s="9"/>
      <c r="V214" s="9"/>
      <c r="W214" s="9"/>
      <c r="X214" s="103"/>
      <c r="Y214" s="103"/>
      <c r="Z214" s="103"/>
      <c r="AA214" s="103"/>
      <c r="AB214" s="103"/>
      <c r="AC214" s="103"/>
      <c r="AD214" s="103"/>
      <c r="AE214" s="9"/>
      <c r="AF214" s="9"/>
      <c r="AG214" s="853"/>
      <c r="AH214" s="853"/>
    </row>
    <row r="215" spans="1:34" s="12" customFormat="1" x14ac:dyDescent="0.25">
      <c r="A215" s="375"/>
      <c r="C215" s="3"/>
      <c r="E215" s="208"/>
      <c r="F215" s="101"/>
      <c r="H215" s="10"/>
      <c r="I215" s="11"/>
      <c r="J215" s="10"/>
      <c r="K215" s="102"/>
      <c r="O215" s="172"/>
      <c r="P215" s="173"/>
      <c r="Q215" s="3"/>
      <c r="T215" s="268"/>
      <c r="U215" s="9"/>
      <c r="V215" s="9"/>
      <c r="W215" s="9"/>
      <c r="X215" s="103"/>
      <c r="Y215" s="103"/>
      <c r="Z215" s="103"/>
      <c r="AA215" s="103"/>
      <c r="AB215" s="103"/>
      <c r="AC215" s="103"/>
      <c r="AD215" s="103"/>
      <c r="AE215" s="9"/>
      <c r="AF215" s="9"/>
      <c r="AG215" s="853"/>
      <c r="AH215" s="853"/>
    </row>
    <row r="216" spans="1:34" s="12" customFormat="1" x14ac:dyDescent="0.25">
      <c r="A216" s="375"/>
      <c r="C216" s="3"/>
      <c r="E216" s="208"/>
      <c r="F216" s="101"/>
      <c r="H216" s="10"/>
      <c r="I216" s="11"/>
      <c r="J216" s="10"/>
      <c r="K216" s="102"/>
      <c r="O216" s="172"/>
      <c r="P216" s="173"/>
      <c r="Q216" s="3"/>
      <c r="T216" s="268"/>
      <c r="U216" s="9"/>
      <c r="V216" s="9"/>
      <c r="W216" s="9"/>
      <c r="X216" s="103"/>
      <c r="Y216" s="103"/>
      <c r="Z216" s="103"/>
      <c r="AA216" s="103"/>
      <c r="AB216" s="103"/>
      <c r="AC216" s="103"/>
      <c r="AD216" s="103"/>
      <c r="AE216" s="9"/>
      <c r="AF216" s="9"/>
      <c r="AG216" s="853"/>
      <c r="AH216" s="853"/>
    </row>
    <row r="217" spans="1:34" s="12" customFormat="1" x14ac:dyDescent="0.25">
      <c r="A217" s="375"/>
      <c r="C217" s="3"/>
      <c r="E217" s="208"/>
      <c r="F217" s="101"/>
      <c r="H217" s="10"/>
      <c r="I217" s="11"/>
      <c r="J217" s="10"/>
      <c r="K217" s="102"/>
      <c r="O217" s="172"/>
      <c r="P217" s="173"/>
      <c r="Q217" s="3"/>
      <c r="T217" s="268"/>
      <c r="U217" s="9"/>
      <c r="V217" s="9"/>
      <c r="W217" s="9"/>
      <c r="X217" s="103"/>
      <c r="Y217" s="103"/>
      <c r="Z217" s="103"/>
      <c r="AA217" s="103"/>
      <c r="AB217" s="103"/>
      <c r="AC217" s="103"/>
      <c r="AD217" s="103"/>
      <c r="AE217" s="9"/>
      <c r="AF217" s="9"/>
      <c r="AG217" s="853"/>
      <c r="AH217" s="853"/>
    </row>
    <row r="218" spans="1:34" s="12" customFormat="1" x14ac:dyDescent="0.25">
      <c r="A218" s="375"/>
      <c r="C218" s="3"/>
      <c r="E218" s="208"/>
      <c r="F218" s="101"/>
      <c r="H218" s="10"/>
      <c r="I218" s="11"/>
      <c r="J218" s="10"/>
      <c r="K218" s="102"/>
      <c r="O218" s="172"/>
      <c r="P218" s="173"/>
      <c r="Q218" s="3"/>
      <c r="T218" s="268"/>
      <c r="U218" s="9"/>
      <c r="V218" s="9"/>
      <c r="W218" s="9"/>
      <c r="X218" s="103"/>
      <c r="Y218" s="103"/>
      <c r="Z218" s="103"/>
      <c r="AA218" s="103"/>
      <c r="AB218" s="103"/>
      <c r="AC218" s="103"/>
      <c r="AD218" s="103"/>
      <c r="AE218" s="9"/>
      <c r="AF218" s="9"/>
      <c r="AG218" s="853"/>
      <c r="AH218" s="853"/>
    </row>
    <row r="219" spans="1:34" s="12" customFormat="1" x14ac:dyDescent="0.25">
      <c r="A219" s="375"/>
      <c r="C219" s="3"/>
      <c r="E219" s="208"/>
      <c r="F219" s="101"/>
      <c r="H219" s="10"/>
      <c r="I219" s="11"/>
      <c r="J219" s="10"/>
      <c r="K219" s="102"/>
      <c r="O219" s="172"/>
      <c r="P219" s="173"/>
      <c r="Q219" s="3"/>
      <c r="T219" s="268"/>
      <c r="U219" s="9"/>
      <c r="V219" s="9"/>
      <c r="W219" s="9"/>
      <c r="X219" s="103"/>
      <c r="Y219" s="103"/>
      <c r="Z219" s="103"/>
      <c r="AA219" s="103"/>
      <c r="AB219" s="103"/>
      <c r="AC219" s="103"/>
      <c r="AD219" s="103"/>
      <c r="AE219" s="9"/>
      <c r="AF219" s="9"/>
      <c r="AG219" s="853"/>
      <c r="AH219" s="853"/>
    </row>
    <row r="220" spans="1:34" s="12" customFormat="1" x14ac:dyDescent="0.25">
      <c r="A220" s="375"/>
      <c r="C220" s="3"/>
      <c r="E220" s="208"/>
      <c r="F220" s="101"/>
      <c r="H220" s="10"/>
      <c r="I220" s="11"/>
      <c r="J220" s="10"/>
      <c r="K220" s="102"/>
      <c r="O220" s="172"/>
      <c r="P220" s="173"/>
      <c r="Q220" s="3"/>
      <c r="T220" s="268"/>
      <c r="U220" s="9"/>
      <c r="V220" s="9"/>
      <c r="W220" s="9"/>
      <c r="X220" s="103"/>
      <c r="Y220" s="103"/>
      <c r="Z220" s="103"/>
      <c r="AA220" s="103"/>
      <c r="AB220" s="103"/>
      <c r="AC220" s="103"/>
      <c r="AD220" s="103"/>
      <c r="AE220" s="9"/>
      <c r="AF220" s="9"/>
      <c r="AG220" s="853"/>
      <c r="AH220" s="853"/>
    </row>
    <row r="221" spans="1:34" s="12" customFormat="1" x14ac:dyDescent="0.25">
      <c r="A221" s="375"/>
      <c r="C221" s="3"/>
      <c r="E221" s="208"/>
      <c r="F221" s="101"/>
      <c r="H221" s="10"/>
      <c r="I221" s="11"/>
      <c r="J221" s="10"/>
      <c r="K221" s="102"/>
      <c r="O221" s="172"/>
      <c r="P221" s="173"/>
      <c r="Q221" s="3"/>
      <c r="T221" s="268"/>
      <c r="U221" s="9"/>
      <c r="V221" s="9"/>
      <c r="W221" s="9"/>
      <c r="X221" s="103"/>
      <c r="Y221" s="103"/>
      <c r="Z221" s="103"/>
      <c r="AA221" s="103"/>
      <c r="AB221" s="103"/>
      <c r="AC221" s="103"/>
      <c r="AD221" s="103"/>
      <c r="AE221" s="9"/>
      <c r="AF221" s="9"/>
      <c r="AG221" s="853"/>
      <c r="AH221" s="853"/>
    </row>
    <row r="222" spans="1:34" s="12" customFormat="1" x14ac:dyDescent="0.25">
      <c r="A222" s="375"/>
      <c r="C222" s="3"/>
      <c r="E222" s="208"/>
      <c r="F222" s="101"/>
      <c r="H222" s="10"/>
      <c r="I222" s="11"/>
      <c r="J222" s="10"/>
      <c r="K222" s="102"/>
      <c r="O222" s="172"/>
      <c r="P222" s="173"/>
      <c r="Q222" s="3"/>
      <c r="T222" s="268"/>
      <c r="U222" s="9"/>
      <c r="V222" s="9"/>
      <c r="W222" s="9"/>
      <c r="X222" s="103"/>
      <c r="Y222" s="103"/>
      <c r="Z222" s="103"/>
      <c r="AA222" s="103"/>
      <c r="AB222" s="103"/>
      <c r="AC222" s="103"/>
      <c r="AD222" s="103"/>
      <c r="AE222" s="9"/>
      <c r="AF222" s="9"/>
      <c r="AG222" s="853"/>
      <c r="AH222" s="853"/>
    </row>
    <row r="223" spans="1:34" s="12" customFormat="1" x14ac:dyDescent="0.25">
      <c r="A223" s="375"/>
      <c r="C223" s="3"/>
      <c r="E223" s="208"/>
      <c r="F223" s="101"/>
      <c r="H223" s="10"/>
      <c r="I223" s="11"/>
      <c r="J223" s="10"/>
      <c r="K223" s="102"/>
      <c r="O223" s="172"/>
      <c r="P223" s="173"/>
      <c r="Q223" s="3"/>
      <c r="T223" s="268"/>
      <c r="U223" s="9"/>
      <c r="V223" s="9"/>
      <c r="W223" s="9"/>
      <c r="X223" s="103"/>
      <c r="Y223" s="103"/>
      <c r="Z223" s="103"/>
      <c r="AA223" s="103"/>
      <c r="AB223" s="103"/>
      <c r="AC223" s="103"/>
      <c r="AD223" s="103"/>
      <c r="AE223" s="9"/>
      <c r="AF223" s="9"/>
      <c r="AG223" s="853"/>
      <c r="AH223" s="853"/>
    </row>
    <row r="224" spans="1:34" s="12" customFormat="1" x14ac:dyDescent="0.25">
      <c r="A224" s="375"/>
      <c r="C224" s="3"/>
      <c r="E224" s="208"/>
      <c r="F224" s="101"/>
      <c r="H224" s="10"/>
      <c r="I224" s="11"/>
      <c r="J224" s="10"/>
      <c r="K224" s="102"/>
      <c r="O224" s="172"/>
      <c r="P224" s="173"/>
      <c r="Q224" s="3"/>
      <c r="T224" s="268"/>
      <c r="U224" s="9"/>
      <c r="V224" s="9"/>
      <c r="W224" s="9"/>
      <c r="X224" s="103"/>
      <c r="Y224" s="103"/>
      <c r="Z224" s="103"/>
      <c r="AA224" s="103"/>
      <c r="AB224" s="103"/>
      <c r="AC224" s="103"/>
      <c r="AD224" s="103"/>
      <c r="AE224" s="9"/>
      <c r="AF224" s="9"/>
      <c r="AG224" s="853"/>
      <c r="AH224" s="853"/>
    </row>
    <row r="225" spans="1:34" s="12" customFormat="1" x14ac:dyDescent="0.25">
      <c r="A225" s="375"/>
      <c r="C225" s="3"/>
      <c r="E225" s="208"/>
      <c r="F225" s="101"/>
      <c r="H225" s="10"/>
      <c r="I225" s="11"/>
      <c r="J225" s="10"/>
      <c r="K225" s="102"/>
      <c r="O225" s="172"/>
      <c r="P225" s="173"/>
      <c r="Q225" s="3"/>
      <c r="T225" s="268"/>
      <c r="U225" s="9"/>
      <c r="V225" s="9"/>
      <c r="W225" s="9"/>
      <c r="X225" s="103"/>
      <c r="Y225" s="103"/>
      <c r="Z225" s="103"/>
      <c r="AA225" s="103"/>
      <c r="AB225" s="103"/>
      <c r="AC225" s="103"/>
      <c r="AD225" s="103"/>
      <c r="AE225" s="9"/>
      <c r="AF225" s="9"/>
      <c r="AG225" s="853"/>
      <c r="AH225" s="853"/>
    </row>
    <row r="226" spans="1:34" s="12" customFormat="1" x14ac:dyDescent="0.25">
      <c r="A226" s="375"/>
      <c r="C226" s="3"/>
      <c r="E226" s="208"/>
      <c r="F226" s="101"/>
      <c r="H226" s="10"/>
      <c r="I226" s="11"/>
      <c r="J226" s="10"/>
      <c r="K226" s="102"/>
      <c r="O226" s="172"/>
      <c r="P226" s="173"/>
      <c r="Q226" s="3"/>
      <c r="T226" s="268"/>
      <c r="U226" s="9"/>
      <c r="V226" s="9"/>
      <c r="W226" s="9"/>
      <c r="X226" s="103"/>
      <c r="Y226" s="103"/>
      <c r="Z226" s="103"/>
      <c r="AA226" s="103"/>
      <c r="AB226" s="103"/>
      <c r="AC226" s="103"/>
      <c r="AD226" s="103"/>
      <c r="AE226" s="9"/>
      <c r="AF226" s="9"/>
      <c r="AG226" s="853"/>
      <c r="AH226" s="853"/>
    </row>
  </sheetData>
  <mergeCells count="212">
    <mergeCell ref="B84:B85"/>
    <mergeCell ref="B138:B139"/>
    <mergeCell ref="C138:C139"/>
    <mergeCell ref="D138:D139"/>
    <mergeCell ref="F138:F139"/>
    <mergeCell ref="G138:G139"/>
    <mergeCell ref="I138:I139"/>
    <mergeCell ref="I118:I119"/>
    <mergeCell ref="I120:I121"/>
    <mergeCell ref="I122:I123"/>
    <mergeCell ref="I124:I125"/>
    <mergeCell ref="I126:I127"/>
    <mergeCell ref="C124:C125"/>
    <mergeCell ref="D124:D125"/>
    <mergeCell ref="F124:F125"/>
    <mergeCell ref="G124:G125"/>
    <mergeCell ref="C126:C127"/>
    <mergeCell ref="D126:D127"/>
    <mergeCell ref="F126:F127"/>
    <mergeCell ref="G126:G127"/>
    <mergeCell ref="C120:C121"/>
    <mergeCell ref="D120:D121"/>
    <mergeCell ref="F120:F121"/>
    <mergeCell ref="G120:G121"/>
    <mergeCell ref="C122:C123"/>
    <mergeCell ref="D122:D123"/>
    <mergeCell ref="F122:F123"/>
    <mergeCell ref="G122:G123"/>
    <mergeCell ref="C118:C119"/>
    <mergeCell ref="D118:D119"/>
    <mergeCell ref="F118:F119"/>
    <mergeCell ref="I106:I107"/>
    <mergeCell ref="I108:I109"/>
    <mergeCell ref="I110:I111"/>
    <mergeCell ref="I112:I113"/>
    <mergeCell ref="I114:I115"/>
    <mergeCell ref="I116:I117"/>
    <mergeCell ref="D116:D117"/>
    <mergeCell ref="F116:F117"/>
    <mergeCell ref="G116:G117"/>
    <mergeCell ref="G106:G107"/>
    <mergeCell ref="I94:I95"/>
    <mergeCell ref="I96:I97"/>
    <mergeCell ref="I98:I99"/>
    <mergeCell ref="I100:I101"/>
    <mergeCell ref="I102:I103"/>
    <mergeCell ref="I104:I105"/>
    <mergeCell ref="I82:I83"/>
    <mergeCell ref="I84:I85"/>
    <mergeCell ref="I86:I87"/>
    <mergeCell ref="I88:I89"/>
    <mergeCell ref="I90:I91"/>
    <mergeCell ref="I92:I93"/>
    <mergeCell ref="I70:I71"/>
    <mergeCell ref="I72:I73"/>
    <mergeCell ref="I74:I75"/>
    <mergeCell ref="I76:I77"/>
    <mergeCell ref="I78:I79"/>
    <mergeCell ref="I80:I81"/>
    <mergeCell ref="G118:G119"/>
    <mergeCell ref="C112:C113"/>
    <mergeCell ref="D112:D113"/>
    <mergeCell ref="F112:F113"/>
    <mergeCell ref="G112:G113"/>
    <mergeCell ref="C114:C115"/>
    <mergeCell ref="D114:D115"/>
    <mergeCell ref="C108:C109"/>
    <mergeCell ref="D108:D109"/>
    <mergeCell ref="F108:F109"/>
    <mergeCell ref="G108:G109"/>
    <mergeCell ref="F114:F115"/>
    <mergeCell ref="G114:G115"/>
    <mergeCell ref="C110:C111"/>
    <mergeCell ref="D110:D111"/>
    <mergeCell ref="F110:F111"/>
    <mergeCell ref="G110:G111"/>
    <mergeCell ref="C116:C117"/>
    <mergeCell ref="C104:C105"/>
    <mergeCell ref="D104:D105"/>
    <mergeCell ref="F104:F105"/>
    <mergeCell ref="G104:G105"/>
    <mergeCell ref="C102:C103"/>
    <mergeCell ref="D102:D103"/>
    <mergeCell ref="F102:F103"/>
    <mergeCell ref="G102:G103"/>
    <mergeCell ref="C106:C107"/>
    <mergeCell ref="D106:D107"/>
    <mergeCell ref="F106:F107"/>
    <mergeCell ref="G100:G101"/>
    <mergeCell ref="C98:C99"/>
    <mergeCell ref="D98:D99"/>
    <mergeCell ref="F98:F99"/>
    <mergeCell ref="G98:G99"/>
    <mergeCell ref="C100:C101"/>
    <mergeCell ref="D100:D101"/>
    <mergeCell ref="F100:F101"/>
    <mergeCell ref="G84:G85"/>
    <mergeCell ref="C88:C89"/>
    <mergeCell ref="D88:D89"/>
    <mergeCell ref="F88:F89"/>
    <mergeCell ref="G94:G95"/>
    <mergeCell ref="C92:C93"/>
    <mergeCell ref="D92:D93"/>
    <mergeCell ref="F92:F93"/>
    <mergeCell ref="G92:G93"/>
    <mergeCell ref="C90:C91"/>
    <mergeCell ref="D90:D91"/>
    <mergeCell ref="F90:F91"/>
    <mergeCell ref="G90:G91"/>
    <mergeCell ref="C94:C95"/>
    <mergeCell ref="D94:D95"/>
    <mergeCell ref="F94:F95"/>
    <mergeCell ref="C86:C87"/>
    <mergeCell ref="D86:D87"/>
    <mergeCell ref="F86:F87"/>
    <mergeCell ref="G86:G87"/>
    <mergeCell ref="C84:C85"/>
    <mergeCell ref="D84:D85"/>
    <mergeCell ref="F84:F85"/>
    <mergeCell ref="C96:C97"/>
    <mergeCell ref="D96:D97"/>
    <mergeCell ref="F96:F97"/>
    <mergeCell ref="G96:G97"/>
    <mergeCell ref="G70:G71"/>
    <mergeCell ref="C72:C73"/>
    <mergeCell ref="D72:D73"/>
    <mergeCell ref="F72:F73"/>
    <mergeCell ref="G72:G73"/>
    <mergeCell ref="C70:C71"/>
    <mergeCell ref="D70:D71"/>
    <mergeCell ref="F70:F71"/>
    <mergeCell ref="C74:C75"/>
    <mergeCell ref="D74:D75"/>
    <mergeCell ref="F74:F75"/>
    <mergeCell ref="A156:B156"/>
    <mergeCell ref="B70:B71"/>
    <mergeCell ref="B72:B73"/>
    <mergeCell ref="B74:B75"/>
    <mergeCell ref="B76:B77"/>
    <mergeCell ref="B78:B79"/>
    <mergeCell ref="B80:B81"/>
    <mergeCell ref="B82:B83"/>
    <mergeCell ref="B86:B87"/>
    <mergeCell ref="B124:B125"/>
    <mergeCell ref="B126:B127"/>
    <mergeCell ref="B118:B119"/>
    <mergeCell ref="B120:B121"/>
    <mergeCell ref="B122:B123"/>
    <mergeCell ref="B88:B89"/>
    <mergeCell ref="B90:B91"/>
    <mergeCell ref="B92:B93"/>
    <mergeCell ref="B94:B95"/>
    <mergeCell ref="B112:B113"/>
    <mergeCell ref="B114:B115"/>
    <mergeCell ref="B116:B117"/>
    <mergeCell ref="B100:B101"/>
    <mergeCell ref="B102:B103"/>
    <mergeCell ref="B104:B105"/>
    <mergeCell ref="B96:B97"/>
    <mergeCell ref="B98:B99"/>
    <mergeCell ref="A9:B9"/>
    <mergeCell ref="B106:B107"/>
    <mergeCell ref="B108:B109"/>
    <mergeCell ref="B110:B111"/>
    <mergeCell ref="G74:G75"/>
    <mergeCell ref="C76:C77"/>
    <mergeCell ref="D76:D77"/>
    <mergeCell ref="F76:F77"/>
    <mergeCell ref="G76:G77"/>
    <mergeCell ref="G82:G83"/>
    <mergeCell ref="C80:C81"/>
    <mergeCell ref="D80:D81"/>
    <mergeCell ref="F80:F81"/>
    <mergeCell ref="G80:G81"/>
    <mergeCell ref="C78:C79"/>
    <mergeCell ref="D78:D79"/>
    <mergeCell ref="F78:F79"/>
    <mergeCell ref="G78:G79"/>
    <mergeCell ref="C82:C83"/>
    <mergeCell ref="D82:D83"/>
    <mergeCell ref="F82:F83"/>
    <mergeCell ref="G88:G89"/>
    <mergeCell ref="B128:B129"/>
    <mergeCell ref="C128:C129"/>
    <mergeCell ref="D128:D129"/>
    <mergeCell ref="F128:F129"/>
    <mergeCell ref="G128:G129"/>
    <mergeCell ref="I128:I129"/>
    <mergeCell ref="B130:B131"/>
    <mergeCell ref="C130:C131"/>
    <mergeCell ref="D130:D131"/>
    <mergeCell ref="F130:F131"/>
    <mergeCell ref="G130:G131"/>
    <mergeCell ref="I130:I131"/>
    <mergeCell ref="B136:B137"/>
    <mergeCell ref="C136:C137"/>
    <mergeCell ref="D136:D137"/>
    <mergeCell ref="F136:F137"/>
    <mergeCell ref="G136:G137"/>
    <mergeCell ref="I136:I137"/>
    <mergeCell ref="G132:G133"/>
    <mergeCell ref="I132:I133"/>
    <mergeCell ref="B134:B135"/>
    <mergeCell ref="C134:C135"/>
    <mergeCell ref="D134:D135"/>
    <mergeCell ref="F134:F135"/>
    <mergeCell ref="G134:G135"/>
    <mergeCell ref="I134:I135"/>
    <mergeCell ref="B132:B133"/>
    <mergeCell ref="C132:C133"/>
    <mergeCell ref="D132:D133"/>
    <mergeCell ref="F132:F133"/>
  </mergeCells>
  <pageMargins left="0.23622047244094491" right="0.23622047244094491" top="0.74803149606299213" bottom="0.74803149606299213" header="0.31496062992125984" footer="0.31496062992125984"/>
  <pageSetup paperSize="9" scale="85" fitToHeight="0" orientation="landscape" r:id="rId1"/>
  <headerFooter alignWithMargins="0"/>
  <rowBreaks count="1" manualBreakCount="1">
    <brk id="37" max="10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356A-79F7-413A-8C5A-CA0E2341EFFD}">
  <sheetPr>
    <tabColor theme="7" tint="0.59999389629810485"/>
    <pageSetUpPr fitToPage="1"/>
  </sheetPr>
  <dimension ref="B1:G40"/>
  <sheetViews>
    <sheetView showGridLines="0" zoomScaleNormal="100" workbookViewId="0">
      <selection activeCell="H13" sqref="H13"/>
    </sheetView>
  </sheetViews>
  <sheetFormatPr defaultColWidth="11" defaultRowHeight="30" customHeight="1" x14ac:dyDescent="0.3"/>
  <cols>
    <col min="1" max="1" width="2.875" style="1021" customWidth="1"/>
    <col min="2" max="2" width="59.125" style="1021" customWidth="1"/>
    <col min="3" max="3" width="37.25" style="1021" customWidth="1"/>
    <col min="4" max="4" width="23.375" style="1021" customWidth="1"/>
    <col min="5" max="5" width="3.375" style="1021" customWidth="1"/>
    <col min="6" max="16384" width="11" style="1021"/>
  </cols>
  <sheetData>
    <row r="1" spans="2:4" ht="45" customHeight="1" x14ac:dyDescent="0.7">
      <c r="B1" s="1020" t="s">
        <v>1308</v>
      </c>
      <c r="C1" s="1561" t="s">
        <v>1309</v>
      </c>
      <c r="D1" s="1561"/>
    </row>
    <row r="2" spans="2:4" ht="30" customHeight="1" x14ac:dyDescent="0.3">
      <c r="B2" s="1022" t="s">
        <v>1310</v>
      </c>
      <c r="C2" s="1023" t="s">
        <v>1311</v>
      </c>
      <c r="D2" s="1024" t="s">
        <v>1312</v>
      </c>
    </row>
    <row r="3" spans="2:4" ht="42.75" customHeight="1" x14ac:dyDescent="0.3">
      <c r="B3" s="1021" t="s">
        <v>1313</v>
      </c>
      <c r="C3" s="1023"/>
    </row>
    <row r="4" spans="2:4" ht="14.4" x14ac:dyDescent="0.3">
      <c r="B4" s="1021" t="s">
        <v>1314</v>
      </c>
      <c r="C4" s="1023"/>
    </row>
    <row r="5" spans="2:4" ht="30" customHeight="1" x14ac:dyDescent="0.3">
      <c r="B5" s="1025" t="s">
        <v>1315</v>
      </c>
    </row>
    <row r="6" spans="2:4" ht="15" customHeight="1" x14ac:dyDescent="0.3">
      <c r="B6" s="1026" t="s">
        <v>1316</v>
      </c>
      <c r="C6" s="1027" t="s">
        <v>1317</v>
      </c>
      <c r="D6" s="1024">
        <v>45047</v>
      </c>
    </row>
    <row r="7" spans="2:4" ht="30" customHeight="1" x14ac:dyDescent="0.3">
      <c r="B7" s="1021" t="s">
        <v>183</v>
      </c>
      <c r="C7" s="1028"/>
    </row>
    <row r="8" spans="2:4" ht="14.4" x14ac:dyDescent="0.3">
      <c r="B8" s="1021" t="s">
        <v>1318</v>
      </c>
    </row>
    <row r="9" spans="2:4" ht="14.4" x14ac:dyDescent="0.3">
      <c r="B9" s="1021" t="s">
        <v>1319</v>
      </c>
    </row>
    <row r="10" spans="2:4" ht="14.4" x14ac:dyDescent="0.3">
      <c r="B10" s="1021" t="s">
        <v>1320</v>
      </c>
    </row>
    <row r="11" spans="2:4" ht="45" customHeight="1" x14ac:dyDescent="0.3">
      <c r="B11" s="1025" t="s">
        <v>1321</v>
      </c>
    </row>
    <row r="12" spans="2:4" ht="108" customHeight="1" x14ac:dyDescent="0.3">
      <c r="B12" s="1026" t="s">
        <v>1322</v>
      </c>
      <c r="C12" s="1562" t="s">
        <v>1323</v>
      </c>
      <c r="D12" s="1563"/>
    </row>
    <row r="13" spans="2:4" ht="78.75" customHeight="1" x14ac:dyDescent="0.3">
      <c r="B13" s="1029" t="s">
        <v>1324</v>
      </c>
      <c r="C13" s="1030" t="s">
        <v>323</v>
      </c>
      <c r="D13" s="1029" t="s">
        <v>613</v>
      </c>
    </row>
    <row r="14" spans="2:4" ht="30" customHeight="1" x14ac:dyDescent="0.3">
      <c r="B14" s="1021" t="s">
        <v>1325</v>
      </c>
      <c r="D14" s="1031">
        <v>378</v>
      </c>
    </row>
    <row r="15" spans="2:4" ht="30" customHeight="1" x14ac:dyDescent="0.3">
      <c r="B15" s="1021" t="s">
        <v>1326</v>
      </c>
      <c r="D15" s="1031">
        <v>216</v>
      </c>
    </row>
    <row r="16" spans="2:4" ht="30" customHeight="1" x14ac:dyDescent="0.3">
      <c r="B16" s="1021" t="s">
        <v>1327</v>
      </c>
      <c r="D16" s="1031">
        <v>1895</v>
      </c>
    </row>
    <row r="17" spans="2:7" ht="30" customHeight="1" x14ac:dyDescent="0.3">
      <c r="D17" s="1031"/>
    </row>
    <row r="18" spans="2:7" ht="30" customHeight="1" x14ac:dyDescent="0.3">
      <c r="D18" s="1031"/>
    </row>
    <row r="19" spans="2:7" ht="30" customHeight="1" x14ac:dyDescent="0.3">
      <c r="B19" s="1032"/>
      <c r="C19" s="1033" t="s">
        <v>1328</v>
      </c>
      <c r="D19" s="1034">
        <f>SUBTOTAL(109,Piedāvājums[SUMMA])</f>
        <v>2489</v>
      </c>
    </row>
    <row r="20" spans="2:7" ht="30" customHeight="1" x14ac:dyDescent="0.3">
      <c r="B20" s="1564"/>
      <c r="C20" s="1564"/>
      <c r="D20" s="1564"/>
    </row>
    <row r="21" spans="2:7" ht="30" customHeight="1" x14ac:dyDescent="0.3">
      <c r="B21" s="1565" t="s">
        <v>1329</v>
      </c>
      <c r="C21" s="1565"/>
      <c r="D21" s="1565"/>
    </row>
    <row r="22" spans="2:7" ht="30" customHeight="1" x14ac:dyDescent="0.3">
      <c r="B22" s="1035">
        <v>44868</v>
      </c>
      <c r="C22"/>
      <c r="D22"/>
      <c r="E22"/>
      <c r="F22"/>
      <c r="G22" s="213" t="s">
        <v>1330</v>
      </c>
    </row>
    <row r="23" spans="2:7" ht="30" customHeight="1" x14ac:dyDescent="0.3">
      <c r="B23" s="1036" t="s">
        <v>1331</v>
      </c>
      <c r="C23"/>
      <c r="D23"/>
      <c r="E23"/>
      <c r="F23"/>
      <c r="G23"/>
    </row>
    <row r="24" spans="2:7" ht="30" customHeight="1" x14ac:dyDescent="0.3">
      <c r="B24" s="1037" t="s">
        <v>1332</v>
      </c>
      <c r="C24"/>
      <c r="D24"/>
      <c r="E24"/>
      <c r="F24"/>
      <c r="G24"/>
    </row>
    <row r="25" spans="2:7" ht="30" customHeight="1" x14ac:dyDescent="0.3">
      <c r="B25" s="1037" t="s">
        <v>1333</v>
      </c>
      <c r="C25"/>
      <c r="D25"/>
      <c r="E25"/>
      <c r="F25"/>
      <c r="G25"/>
    </row>
    <row r="26" spans="2:7" ht="30" customHeight="1" x14ac:dyDescent="0.3">
      <c r="B26" s="1037"/>
      <c r="C26"/>
      <c r="D26"/>
      <c r="E26"/>
      <c r="F26"/>
      <c r="G26"/>
    </row>
    <row r="27" spans="2:7" ht="30" customHeight="1" x14ac:dyDescent="0.3">
      <c r="B27" s="1037" t="s">
        <v>1334</v>
      </c>
      <c r="C27"/>
      <c r="D27"/>
      <c r="E27"/>
      <c r="F27"/>
      <c r="G27"/>
    </row>
    <row r="28" spans="2:7" ht="30" customHeight="1" x14ac:dyDescent="0.3">
      <c r="B28" s="1036" t="s">
        <v>1335</v>
      </c>
      <c r="C28"/>
      <c r="D28"/>
      <c r="E28"/>
      <c r="F28"/>
      <c r="G28"/>
    </row>
    <row r="29" spans="2:7" ht="30" customHeight="1" x14ac:dyDescent="0.3">
      <c r="B29" s="1036"/>
      <c r="C29"/>
      <c r="D29"/>
      <c r="E29"/>
      <c r="F29"/>
      <c r="G29"/>
    </row>
    <row r="30" spans="2:7" ht="30" customHeight="1" x14ac:dyDescent="0.3">
      <c r="B30" s="1036"/>
      <c r="C30"/>
      <c r="D30"/>
      <c r="E30"/>
      <c r="F30"/>
      <c r="G30"/>
    </row>
    <row r="31" spans="2:7" ht="30" customHeight="1" x14ac:dyDescent="0.3">
      <c r="B31" s="1038" t="s">
        <v>1336</v>
      </c>
      <c r="C31"/>
      <c r="D31"/>
      <c r="E31"/>
      <c r="F31"/>
      <c r="G31"/>
    </row>
    <row r="32" spans="2:7" ht="30" customHeight="1" x14ac:dyDescent="0.3">
      <c r="B32" s="1039"/>
      <c r="C32"/>
      <c r="D32"/>
      <c r="E32"/>
      <c r="F32"/>
      <c r="G32"/>
    </row>
    <row r="33" spans="2:7" ht="62.4" x14ac:dyDescent="0.3">
      <c r="B33" s="1040" t="s">
        <v>1337</v>
      </c>
      <c r="C33"/>
      <c r="D33"/>
      <c r="E33"/>
      <c r="F33"/>
      <c r="G33"/>
    </row>
    <row r="34" spans="2:7" ht="156" x14ac:dyDescent="0.3">
      <c r="B34" s="1040" t="s">
        <v>1338</v>
      </c>
      <c r="C34"/>
      <c r="D34"/>
      <c r="E34"/>
      <c r="F34"/>
      <c r="G34"/>
    </row>
    <row r="35" spans="2:7" ht="109.2" x14ac:dyDescent="0.3">
      <c r="B35" s="1040" t="s">
        <v>1339</v>
      </c>
      <c r="C35"/>
      <c r="D35"/>
      <c r="E35"/>
      <c r="F35"/>
      <c r="G35"/>
    </row>
    <row r="36" spans="2:7" ht="62.4" x14ac:dyDescent="0.3">
      <c r="B36" s="1040" t="s">
        <v>1340</v>
      </c>
      <c r="C36"/>
      <c r="D36"/>
      <c r="E36"/>
      <c r="F36"/>
      <c r="G36"/>
    </row>
    <row r="37" spans="2:7" ht="30" customHeight="1" x14ac:dyDescent="0.3">
      <c r="B37" s="1039"/>
      <c r="C37"/>
      <c r="D37"/>
      <c r="E37"/>
      <c r="F37"/>
      <c r="G37"/>
    </row>
    <row r="38" spans="2:7" ht="30" customHeight="1" x14ac:dyDescent="0.3">
      <c r="B38" s="1039"/>
      <c r="C38"/>
      <c r="D38"/>
      <c r="E38"/>
      <c r="F38"/>
      <c r="G38"/>
    </row>
    <row r="39" spans="2:7" ht="30" customHeight="1" x14ac:dyDescent="0.3">
      <c r="B39" s="1041" t="s">
        <v>1341</v>
      </c>
      <c r="C39" s="1042" t="s">
        <v>184</v>
      </c>
      <c r="D39"/>
      <c r="E39"/>
      <c r="F39"/>
      <c r="G39"/>
    </row>
    <row r="40" spans="2:7" ht="30" customHeight="1" x14ac:dyDescent="0.3">
      <c r="B40" s="1039"/>
      <c r="C40"/>
      <c r="D40"/>
      <c r="E40"/>
      <c r="F40"/>
      <c r="G40"/>
    </row>
  </sheetData>
  <mergeCells count="4">
    <mergeCell ref="C1:D1"/>
    <mergeCell ref="C12:D12"/>
    <mergeCell ref="B20:D20"/>
    <mergeCell ref="B21:D21"/>
  </mergeCells>
  <dataValidations count="29">
    <dataValidation allowBlank="1" showInputMessage="1" showErrorMessage="1" prompt="Izveidojiet cenas piedāvājumu bez nodokļiem šajā darblapā. Ievadiet uzņēmuma, klienta, piedāvājuma un preces informāciju. Kopsumma apmaksai tiks aprēķināta automātiski" sqref="A1" xr:uid="{C80E838B-FB98-4D81-848A-E9376054B82E}"/>
    <dataValidation allowBlank="1" showInputMessage="1" showErrorMessage="1" prompt="Šajā šūnā ievadiet klienta ID" sqref="D4" xr:uid="{890624F6-30B7-4A67-B665-B4AFCB791182}"/>
    <dataValidation allowBlank="1" showInputMessage="1" showErrorMessage="1" prompt="Šūnā pa labi ievadiet klienta ID" sqref="C4" xr:uid="{0095C1FD-7411-4F54-A9A7-137437F13E2D}"/>
    <dataValidation allowBlank="1" showInputMessage="1" showErrorMessage="1" prompt="Ievadiet piedāvājuma numuru šajā šūnā" sqref="D3" xr:uid="{C624F8A5-5CE8-4629-AA4F-BE0E832E6F02}"/>
    <dataValidation allowBlank="1" showInputMessage="1" showErrorMessage="1" prompt="Ievadiet piedāvājuma numuru šūnā pa labi" sqref="C3" xr:uid="{9EF972AD-0922-4D99-94BB-740C0E1B9D2D}"/>
    <dataValidation allowBlank="1" showInputMessage="1" showErrorMessage="1" prompt="Ievadiet piedāvājuma datumu šajā šūnā" sqref="D2" xr:uid="{3537638E-DFCA-4780-A6D3-0A362CE2FF08}"/>
    <dataValidation allowBlank="1" showInputMessage="1" showErrorMessage="1" prompt="Ievadiet piedāvājuma datumu šūnā pa labi" sqref="C2" xr:uid="{67656A83-26FA-452B-B318-393B77E9BAB0}"/>
    <dataValidation allowBlank="1" showInputMessage="1" showErrorMessage="1" prompt="Šajā šūnā atrodas šīs darblapas nosaukums. Ievadiet datumu, piedāvājuma numuru un klienta ID no šūnas D2 līdz šūnai D4" sqref="C1:D1" xr:uid="{6FADDBF7-D160-4F5E-8AB1-5AC45C114B5A}"/>
    <dataValidation allowBlank="1" showInputMessage="1" showErrorMessage="1" prompt="Šajā šūnā ievadiet uzņēmuma nosaukumu, bet šūnā zemāk ievadiet uzņēmuma saukli. Piedāvājuma nosaukums ir šūnā pa labi" sqref="B1" xr:uid="{8550CFC7-E84D-46EB-9C7D-9DD04CBA14EF}"/>
    <dataValidation allowBlank="1" showInputMessage="1" showErrorMessage="1" prompt="Ievadiet uzņēmuma saukli un uzņēmuma adresi šūnās zemāk, no šūnas B3 līdz šūnai B5" sqref="B2" xr:uid="{77DC0394-31D3-466A-AA7D-AF025658796B}"/>
    <dataValidation allowBlank="1" showInputMessage="1" showErrorMessage="1" prompt="Šajā šūnā ievadiet uzņēmuma adresi" sqref="B3" xr:uid="{F0D965E0-59D7-4AEC-93F5-9466712F4D97}"/>
    <dataValidation allowBlank="1" showInputMessage="1" showErrorMessage="1" prompt="Šajā šūnā ievadiet uzņēmuma pilsētu, novadu un pasta indeksu" sqref="B4" xr:uid="{7BF85663-70AD-4161-A5D5-DF987381210A}"/>
    <dataValidation allowBlank="1" showInputMessage="1" showErrorMessage="1" prompt="Šajā šūnā ievadiet uzņēmuma tālruņa un faksa numuru" sqref="B5" xr:uid="{58D8DEEF-9ABD-4F9E-A558-6C599488C3CB}"/>
    <dataValidation allowBlank="1" showInputMessage="1" showErrorMessage="1" prompt="Ievadiet piedāvājuma beigu datumu šajā šūnā" sqref="D6" xr:uid="{E20CE835-EF7F-4671-90A3-AA77B4BD2E4C}"/>
    <dataValidation allowBlank="1" showInputMessage="1" showErrorMessage="1" prompt="Ievadiet piedāvājuma beigu datumu šūnā pa labi" sqref="C6" xr:uid="{C92101F5-0EB4-46CB-BD00-1CE454ED8C65}"/>
    <dataValidation allowBlank="1" showInputMessage="1" showErrorMessage="1" prompt="Ievadiet autora vārdu, uzvārdu šajā šūnā" sqref="D7" xr:uid="{0344D6AF-D74E-4E49-8FAF-95645566C2AF}"/>
    <dataValidation allowBlank="1" showInputMessage="1" showErrorMessage="1" prompt="Ievadiet autora vārdu, uzvārdu šūnā pa labi" sqref="C7" xr:uid="{3F516EBB-698B-4193-A5A5-5539698C570F}"/>
    <dataValidation allowBlank="1" showInputMessage="1" showErrorMessage="1" prompt="Ievadiet rēķina saņēmēja informāciju no šūnas B7 līdz šūnai B11. Ievadiet piedāvājuma termiņu šūnā D6, bet šūnā D7 ievadiet autora vārdu, uzvārdu" sqref="B6" xr:uid="{E36E0952-6250-4E8F-A094-DADA0F1A016A}"/>
    <dataValidation allowBlank="1" showInputMessage="1" showErrorMessage="1" prompt="Šajā šūnā ievadiet klienta vārdu un uzvārdu" sqref="B7" xr:uid="{E9B9D6C8-8010-4C7A-A37C-DAFCB1839018}"/>
    <dataValidation allowBlank="1" showInputMessage="1" showErrorMessage="1" prompt="Šajā šūnā ievadiet klienta uzņēmuma nosaukumu" sqref="B8" xr:uid="{99089458-42DB-42DE-B58E-D49F1921963C}"/>
    <dataValidation allowBlank="1" showInputMessage="1" showErrorMessage="1" prompt="Šajā šūnā ievadiet klienta adresi" sqref="B9" xr:uid="{0937C010-A6F0-441F-9DAE-1C2B474C4E7D}"/>
    <dataValidation allowBlank="1" showInputMessage="1" showErrorMessage="1" prompt="Šajā šūnā ievadiet klienta pilsētu, novadu un pasta indeksu" sqref="B10" xr:uid="{D1163AEF-E9BD-4599-B9C3-EBD66A02DD39}"/>
    <dataValidation allowBlank="1" showInputMessage="1" showErrorMessage="1" prompt="Šajā šūnā ievadiet klienta tālruņa numuru" sqref="B11" xr:uid="{D23FE7B0-F886-4440-A440-C306932F691B}"/>
    <dataValidation allowBlank="1" showInputMessage="1" showErrorMessage="1" prompt="Šajā šūnā ievadiet komentārus vai īpašos norādījumus" sqref="C12:D12" xr:uid="{72A50872-3FF6-42B1-BE62-938F4B6D124C}"/>
    <dataValidation allowBlank="1" showInputMessage="1" showErrorMessage="1" prompt="Šūnā pa labi ievadiet komentārus vai īpašos norādījumus" sqref="B12" xr:uid="{B6D12E6A-FB36-4B97-B66C-CC7DF6EF1FE0}"/>
    <dataValidation allowBlank="1" showInputMessage="1" showErrorMessage="1" prompt="Ievadiet aprakstu šajā kolonnā ar šo virsrakstu" sqref="B13" xr:uid="{A2910F86-F08F-40EF-A7E5-3E9371E15C09}"/>
    <dataValidation allowBlank="1" showInputMessage="1" showErrorMessage="1" prompt="Šajā virsrakstā ievadiet pielāgotu lauku un kolonnā ar šo virsrakstu ievadiet attiecīgos datus" sqref="C13" xr:uid="{EAA8844B-F081-44EF-B645-8D6CC6BE44D1}"/>
    <dataValidation allowBlank="1" showInputMessage="1" showErrorMessage="1" prompt="Ievadiet summu šajā kolonnā zem šī virsraksta. Apmaksas kopsumma tiks automātiski aprēķināta" sqref="D13" xr:uid="{EDEA2491-68BA-4BB9-BA89-972599FE556D}"/>
    <dataValidation allowBlank="1" showInputMessage="1" showErrorMessage="1" prompt="Šajā šūnā ievadiet uzņēmuma kontaktpersonas vārdu un uzvārdu, tālruņa numuru un e-pasta adresi" sqref="B20:D20" xr:uid="{721492DE-7BE8-4BFF-BA61-83B71B47A149}"/>
  </dataValidations>
  <printOptions horizontalCentered="1"/>
  <pageMargins left="0.5" right="0.5" top="0.5" bottom="0.5" header="0.5" footer="0.5"/>
  <pageSetup paperSize="9" scale="91" fitToHeight="0" orientation="portrait"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E9EB-4F0D-47D9-B57B-F1788262645D}">
  <sheetPr>
    <tabColor theme="7" tint="0.59999389629810485"/>
  </sheetPr>
  <dimension ref="B1:X121"/>
  <sheetViews>
    <sheetView topLeftCell="A4" zoomScale="110" zoomScaleNormal="110" workbookViewId="0">
      <selection activeCell="G19" sqref="G19"/>
    </sheetView>
  </sheetViews>
  <sheetFormatPr defaultColWidth="9.875" defaultRowHeight="14.4" x14ac:dyDescent="0.3"/>
  <cols>
    <col min="1" max="1" width="17.75" style="549" customWidth="1"/>
    <col min="2" max="2" width="56.375" style="545" customWidth="1"/>
    <col min="3" max="3" width="14.75" style="546" customWidth="1"/>
    <col min="4" max="4" width="14.25" style="547" customWidth="1"/>
    <col min="5" max="5" width="9.375" style="548" customWidth="1"/>
    <col min="6" max="16384" width="9.875" style="549"/>
  </cols>
  <sheetData>
    <row r="1" spans="2:6" ht="12" customHeight="1" x14ac:dyDescent="0.3"/>
    <row r="2" spans="2:6" ht="18" x14ac:dyDescent="0.3">
      <c r="B2" s="550" t="s">
        <v>812</v>
      </c>
      <c r="D2" s="551"/>
      <c r="E2" s="552"/>
    </row>
    <row r="3" spans="2:6" x14ac:dyDescent="0.3">
      <c r="B3" s="545" t="s">
        <v>813</v>
      </c>
      <c r="D3" s="551"/>
      <c r="E3" s="552"/>
    </row>
    <row r="4" spans="2:6" x14ac:dyDescent="0.3">
      <c r="D4" s="551"/>
      <c r="E4" s="552"/>
    </row>
    <row r="5" spans="2:6" x14ac:dyDescent="0.3">
      <c r="B5" s="545" t="s">
        <v>814</v>
      </c>
      <c r="D5" s="551"/>
      <c r="E5" s="552"/>
    </row>
    <row r="6" spans="2:6" x14ac:dyDescent="0.3">
      <c r="B6" s="545" t="s">
        <v>815</v>
      </c>
    </row>
    <row r="7" spans="2:6" x14ac:dyDescent="0.3">
      <c r="B7" s="545" t="s">
        <v>816</v>
      </c>
    </row>
    <row r="8" spans="2:6" x14ac:dyDescent="0.3">
      <c r="B8" s="545" t="s">
        <v>817</v>
      </c>
    </row>
    <row r="9" spans="2:6" x14ac:dyDescent="0.3">
      <c r="B9" s="545" t="s">
        <v>818</v>
      </c>
    </row>
    <row r="10" spans="2:6" ht="36" x14ac:dyDescent="0.3">
      <c r="B10" s="553"/>
      <c r="C10" s="554" t="s">
        <v>819</v>
      </c>
      <c r="D10" s="555" t="s">
        <v>820</v>
      </c>
      <c r="E10" s="556" t="s">
        <v>820</v>
      </c>
    </row>
    <row r="11" spans="2:6" s="561" customFormat="1" ht="12" x14ac:dyDescent="0.25">
      <c r="B11" s="557"/>
      <c r="C11" s="558"/>
      <c r="D11" s="559"/>
      <c r="E11" s="560" t="s">
        <v>821</v>
      </c>
    </row>
    <row r="12" spans="2:6" s="561" customFormat="1" ht="12" x14ac:dyDescent="0.25">
      <c r="B12" s="557"/>
      <c r="C12" s="918">
        <f>SUM(C14:C107)</f>
        <v>102998.82</v>
      </c>
      <c r="D12" s="919">
        <f>SUM(D14:D107)</f>
        <v>122029.01999999995</v>
      </c>
      <c r="E12" s="560"/>
    </row>
    <row r="13" spans="2:6" x14ac:dyDescent="0.3">
      <c r="B13" s="562" t="s">
        <v>822</v>
      </c>
      <c r="C13" s="563"/>
      <c r="D13" s="564"/>
      <c r="E13" s="565"/>
    </row>
    <row r="14" spans="2:6" ht="57.6" x14ac:dyDescent="0.3">
      <c r="B14" s="566" t="s">
        <v>823</v>
      </c>
      <c r="C14" s="897">
        <v>0</v>
      </c>
      <c r="D14" s="898">
        <v>0</v>
      </c>
      <c r="E14" s="567"/>
      <c r="F14" s="549" t="s">
        <v>824</v>
      </c>
    </row>
    <row r="15" spans="2:6" x14ac:dyDescent="0.3">
      <c r="B15" s="568" t="s">
        <v>825</v>
      </c>
      <c r="C15" s="899"/>
      <c r="D15" s="900"/>
      <c r="E15" s="569"/>
    </row>
    <row r="16" spans="2:6" x14ac:dyDescent="0.3">
      <c r="B16" s="570" t="s">
        <v>826</v>
      </c>
      <c r="C16" s="899">
        <v>2000</v>
      </c>
      <c r="D16" s="900">
        <v>2420</v>
      </c>
      <c r="E16" s="569"/>
    </row>
    <row r="17" spans="2:6" x14ac:dyDescent="0.3">
      <c r="B17" s="570" t="s">
        <v>827</v>
      </c>
      <c r="C17" s="899">
        <v>4000</v>
      </c>
      <c r="D17" s="900">
        <v>4840</v>
      </c>
      <c r="E17" s="569"/>
    </row>
    <row r="18" spans="2:6" x14ac:dyDescent="0.3">
      <c r="B18" s="570" t="s">
        <v>828</v>
      </c>
      <c r="C18" s="899">
        <v>200</v>
      </c>
      <c r="D18" s="900">
        <v>200</v>
      </c>
      <c r="E18" s="569"/>
    </row>
    <row r="19" spans="2:6" x14ac:dyDescent="0.3">
      <c r="B19" s="570" t="s">
        <v>829</v>
      </c>
      <c r="C19" s="899">
        <v>150</v>
      </c>
      <c r="D19" s="900">
        <v>181.5</v>
      </c>
      <c r="E19" s="569"/>
    </row>
    <row r="20" spans="2:6" ht="57.6" x14ac:dyDescent="0.3">
      <c r="B20" s="570" t="s">
        <v>830</v>
      </c>
      <c r="C20" s="899">
        <v>500</v>
      </c>
      <c r="D20" s="900">
        <v>500</v>
      </c>
      <c r="E20" s="569"/>
    </row>
    <row r="21" spans="2:6" ht="43.2" x14ac:dyDescent="0.3">
      <c r="B21" s="571" t="s">
        <v>831</v>
      </c>
      <c r="C21" s="899">
        <v>5000</v>
      </c>
      <c r="D21" s="900">
        <v>6050</v>
      </c>
      <c r="E21" s="569"/>
    </row>
    <row r="22" spans="2:6" ht="43.2" x14ac:dyDescent="0.3">
      <c r="B22" s="571" t="s">
        <v>832</v>
      </c>
      <c r="C22" s="899">
        <v>3000</v>
      </c>
      <c r="D22" s="900">
        <v>3630</v>
      </c>
      <c r="E22" s="569"/>
    </row>
    <row r="23" spans="2:6" x14ac:dyDescent="0.3">
      <c r="B23" s="572" t="s">
        <v>833</v>
      </c>
      <c r="C23" s="897">
        <v>0</v>
      </c>
      <c r="D23" s="898">
        <v>0</v>
      </c>
      <c r="E23" s="573"/>
      <c r="F23" s="549" t="s">
        <v>834</v>
      </c>
    </row>
    <row r="24" spans="2:6" x14ac:dyDescent="0.3">
      <c r="B24" s="572" t="s">
        <v>835</v>
      </c>
      <c r="C24" s="897">
        <v>0</v>
      </c>
      <c r="D24" s="898">
        <v>0</v>
      </c>
      <c r="E24" s="573"/>
      <c r="F24" s="549" t="s">
        <v>834</v>
      </c>
    </row>
    <row r="25" spans="2:6" x14ac:dyDescent="0.3">
      <c r="B25" s="571" t="s">
        <v>836</v>
      </c>
      <c r="C25" s="899">
        <v>1500</v>
      </c>
      <c r="D25" s="900">
        <v>1725</v>
      </c>
      <c r="E25" s="569"/>
    </row>
    <row r="26" spans="2:6" x14ac:dyDescent="0.3">
      <c r="B26" s="571" t="s">
        <v>837</v>
      </c>
      <c r="C26" s="899">
        <v>4500</v>
      </c>
      <c r="D26" s="900">
        <v>5250</v>
      </c>
      <c r="E26" s="569"/>
    </row>
    <row r="27" spans="2:6" x14ac:dyDescent="0.3">
      <c r="B27" s="570" t="s">
        <v>838</v>
      </c>
      <c r="C27" s="899">
        <v>598.79999999999995</v>
      </c>
      <c r="D27" s="900">
        <v>598.79999999999995</v>
      </c>
      <c r="E27" s="569"/>
    </row>
    <row r="28" spans="2:6" x14ac:dyDescent="0.3">
      <c r="B28" s="570" t="s">
        <v>839</v>
      </c>
      <c r="C28" s="899">
        <v>500</v>
      </c>
      <c r="D28" s="900">
        <v>583</v>
      </c>
      <c r="E28" s="569"/>
    </row>
    <row r="29" spans="2:6" x14ac:dyDescent="0.3">
      <c r="B29" s="570" t="s">
        <v>840</v>
      </c>
      <c r="C29" s="899">
        <v>600</v>
      </c>
      <c r="D29" s="900">
        <v>726</v>
      </c>
      <c r="E29" s="569"/>
    </row>
    <row r="30" spans="2:6" x14ac:dyDescent="0.3">
      <c r="B30" s="570" t="s">
        <v>841</v>
      </c>
      <c r="C30" s="899">
        <v>600</v>
      </c>
      <c r="D30" s="900">
        <v>726</v>
      </c>
      <c r="E30" s="569"/>
    </row>
    <row r="31" spans="2:6" ht="21" customHeight="1" x14ac:dyDescent="0.3">
      <c r="B31" s="570" t="s">
        <v>842</v>
      </c>
      <c r="C31" s="899">
        <v>600</v>
      </c>
      <c r="D31" s="900">
        <v>726</v>
      </c>
      <c r="E31" s="569"/>
    </row>
    <row r="32" spans="2:6" x14ac:dyDescent="0.3">
      <c r="B32" s="570" t="s">
        <v>843</v>
      </c>
      <c r="C32" s="899">
        <v>600</v>
      </c>
      <c r="D32" s="900">
        <v>726</v>
      </c>
      <c r="E32" s="574"/>
    </row>
    <row r="33" spans="2:24" ht="28.8" x14ac:dyDescent="0.3">
      <c r="B33" s="570" t="s">
        <v>844</v>
      </c>
      <c r="C33" s="899">
        <v>180</v>
      </c>
      <c r="D33" s="900">
        <v>180</v>
      </c>
      <c r="E33" s="569"/>
    </row>
    <row r="34" spans="2:24" x14ac:dyDescent="0.3">
      <c r="B34" s="570" t="s">
        <v>845</v>
      </c>
      <c r="C34" s="899">
        <v>300</v>
      </c>
      <c r="D34" s="900">
        <v>300</v>
      </c>
      <c r="E34" s="569"/>
    </row>
    <row r="35" spans="2:24" ht="28.8" x14ac:dyDescent="0.3">
      <c r="B35" s="575" t="s">
        <v>846</v>
      </c>
      <c r="C35" s="897">
        <v>0</v>
      </c>
      <c r="D35" s="898">
        <v>0</v>
      </c>
      <c r="E35" s="573"/>
      <c r="F35" s="549" t="s">
        <v>847</v>
      </c>
    </row>
    <row r="36" spans="2:24" x14ac:dyDescent="0.3">
      <c r="B36" s="575" t="s">
        <v>848</v>
      </c>
      <c r="C36" s="897">
        <v>0</v>
      </c>
      <c r="D36" s="898">
        <v>0</v>
      </c>
      <c r="E36" s="573"/>
      <c r="F36" s="549" t="s">
        <v>834</v>
      </c>
    </row>
    <row r="37" spans="2:24" x14ac:dyDescent="0.3">
      <c r="B37" s="570" t="s">
        <v>849</v>
      </c>
      <c r="C37" s="899">
        <v>350</v>
      </c>
      <c r="D37" s="900">
        <v>350</v>
      </c>
      <c r="E37" s="569"/>
    </row>
    <row r="38" spans="2:24" x14ac:dyDescent="0.3">
      <c r="B38" s="570" t="s">
        <v>850</v>
      </c>
      <c r="C38" s="901">
        <v>200</v>
      </c>
      <c r="D38" s="900">
        <v>242</v>
      </c>
      <c r="E38" s="569"/>
    </row>
    <row r="39" spans="2:24" ht="21" customHeight="1" x14ac:dyDescent="0.3">
      <c r="B39" s="570" t="s">
        <v>851</v>
      </c>
      <c r="C39" s="899">
        <v>200</v>
      </c>
      <c r="D39" s="900">
        <v>200</v>
      </c>
      <c r="E39" s="569"/>
    </row>
    <row r="40" spans="2:24" ht="21" customHeight="1" x14ac:dyDescent="0.3">
      <c r="B40" s="570" t="s">
        <v>852</v>
      </c>
      <c r="C40" s="899">
        <v>220</v>
      </c>
      <c r="D40" s="900">
        <v>220</v>
      </c>
      <c r="E40" s="569"/>
    </row>
    <row r="41" spans="2:24" ht="28.8" x14ac:dyDescent="0.3">
      <c r="B41" s="570" t="s">
        <v>853</v>
      </c>
      <c r="C41" s="899">
        <v>1200</v>
      </c>
      <c r="D41" s="900">
        <v>1200</v>
      </c>
      <c r="E41" s="569"/>
    </row>
    <row r="42" spans="2:24" x14ac:dyDescent="0.3">
      <c r="B42" s="576" t="s">
        <v>854</v>
      </c>
      <c r="C42" s="902"/>
      <c r="D42" s="903"/>
      <c r="E42" s="577"/>
    </row>
    <row r="43" spans="2:24" s="578" customFormat="1" ht="28.8" x14ac:dyDescent="0.3">
      <c r="B43" s="570" t="s">
        <v>855</v>
      </c>
      <c r="C43" s="899">
        <v>15142</v>
      </c>
      <c r="D43" s="904">
        <v>18321.82</v>
      </c>
      <c r="E43" s="574"/>
      <c r="F43" s="549"/>
      <c r="G43" s="549"/>
      <c r="H43" s="549"/>
      <c r="I43" s="549"/>
      <c r="J43" s="549"/>
      <c r="K43" s="549"/>
      <c r="L43" s="549"/>
      <c r="M43" s="549"/>
      <c r="N43" s="549"/>
      <c r="O43" s="549"/>
      <c r="P43" s="549"/>
      <c r="Q43" s="549"/>
      <c r="R43" s="549"/>
      <c r="S43" s="549"/>
      <c r="T43" s="549"/>
      <c r="U43" s="549"/>
      <c r="V43" s="549"/>
      <c r="W43" s="549"/>
      <c r="X43" s="549"/>
    </row>
    <row r="44" spans="2:24" ht="28.8" x14ac:dyDescent="0.3">
      <c r="B44" s="579" t="s">
        <v>856</v>
      </c>
      <c r="C44" s="905">
        <v>0</v>
      </c>
      <c r="D44" s="906">
        <v>0</v>
      </c>
      <c r="E44" s="580"/>
      <c r="F44" s="581" t="s">
        <v>824</v>
      </c>
    </row>
    <row r="45" spans="2:24" ht="86.4" x14ac:dyDescent="0.3">
      <c r="B45" s="570" t="s">
        <v>857</v>
      </c>
      <c r="C45" s="907">
        <v>28132.92</v>
      </c>
      <c r="D45" s="900">
        <v>34040.83</v>
      </c>
      <c r="E45" s="582"/>
      <c r="F45" s="549" t="s">
        <v>858</v>
      </c>
    </row>
    <row r="46" spans="2:24" ht="81" customHeight="1" x14ac:dyDescent="0.3">
      <c r="B46" s="570" t="s">
        <v>859</v>
      </c>
      <c r="C46" s="899">
        <v>5991.74</v>
      </c>
      <c r="D46" s="900">
        <v>7250</v>
      </c>
      <c r="E46" s="569"/>
    </row>
    <row r="47" spans="2:24" x14ac:dyDescent="0.3">
      <c r="B47" s="570" t="s">
        <v>860</v>
      </c>
      <c r="C47" s="899">
        <v>1231.4000000000001</v>
      </c>
      <c r="D47" s="900">
        <v>1489.99</v>
      </c>
      <c r="E47" s="569"/>
    </row>
    <row r="48" spans="2:24" x14ac:dyDescent="0.3">
      <c r="B48" s="570" t="s">
        <v>861</v>
      </c>
      <c r="C48" s="899">
        <v>400</v>
      </c>
      <c r="D48" s="900">
        <v>484</v>
      </c>
      <c r="E48" s="569"/>
    </row>
    <row r="49" spans="2:6" x14ac:dyDescent="0.3">
      <c r="B49" s="583" t="s">
        <v>862</v>
      </c>
      <c r="C49" s="897">
        <v>0</v>
      </c>
      <c r="D49" s="898">
        <v>0</v>
      </c>
      <c r="E49" s="573"/>
    </row>
    <row r="50" spans="2:6" x14ac:dyDescent="0.3">
      <c r="B50" s="584" t="s">
        <v>863</v>
      </c>
      <c r="C50" s="897">
        <v>0</v>
      </c>
      <c r="D50" s="898">
        <v>0</v>
      </c>
      <c r="E50" s="573"/>
    </row>
    <row r="51" spans="2:6" x14ac:dyDescent="0.3">
      <c r="B51" s="585" t="s">
        <v>864</v>
      </c>
      <c r="C51" s="899">
        <v>274.5</v>
      </c>
      <c r="D51" s="900">
        <v>332.14</v>
      </c>
      <c r="E51" s="569"/>
    </row>
    <row r="52" spans="2:6" ht="16.95" customHeight="1" x14ac:dyDescent="0.3">
      <c r="B52" s="585" t="s">
        <v>865</v>
      </c>
      <c r="C52" s="899">
        <v>870</v>
      </c>
      <c r="D52" s="900">
        <v>180</v>
      </c>
      <c r="E52" s="569"/>
    </row>
    <row r="53" spans="2:6" x14ac:dyDescent="0.3">
      <c r="B53" s="585" t="s">
        <v>866</v>
      </c>
      <c r="C53" s="899">
        <v>1268.7</v>
      </c>
      <c r="D53" s="900">
        <v>1535.12</v>
      </c>
      <c r="E53" s="569"/>
    </row>
    <row r="54" spans="2:6" x14ac:dyDescent="0.3">
      <c r="B54" s="585" t="s">
        <v>867</v>
      </c>
      <c r="C54" s="899">
        <v>120</v>
      </c>
      <c r="D54" s="900">
        <v>145.19999999999999</v>
      </c>
      <c r="E54" s="569"/>
    </row>
    <row r="55" spans="2:6" ht="28.8" x14ac:dyDescent="0.3">
      <c r="B55" s="585" t="s">
        <v>868</v>
      </c>
      <c r="C55" s="899">
        <v>409.6</v>
      </c>
      <c r="D55" s="900">
        <v>495.62</v>
      </c>
      <c r="E55" s="569"/>
    </row>
    <row r="56" spans="2:6" ht="28.8" x14ac:dyDescent="0.3">
      <c r="B56" s="585" t="s">
        <v>868</v>
      </c>
      <c r="C56" s="899">
        <v>138.75</v>
      </c>
      <c r="D56" s="900">
        <v>167.89</v>
      </c>
      <c r="E56" s="569"/>
    </row>
    <row r="57" spans="2:6" ht="28.8" x14ac:dyDescent="0.3">
      <c r="B57" s="585" t="s">
        <v>868</v>
      </c>
      <c r="C57" s="899">
        <v>398.21</v>
      </c>
      <c r="D57" s="900">
        <v>481.83</v>
      </c>
      <c r="E57" s="569"/>
    </row>
    <row r="58" spans="2:6" x14ac:dyDescent="0.3">
      <c r="B58" s="586" t="s">
        <v>869</v>
      </c>
      <c r="C58" s="908">
        <v>700</v>
      </c>
      <c r="D58" s="909">
        <v>847</v>
      </c>
      <c r="E58" s="587"/>
    </row>
    <row r="59" spans="2:6" x14ac:dyDescent="0.3">
      <c r="B59" s="588" t="s">
        <v>870</v>
      </c>
      <c r="C59" s="897"/>
      <c r="D59" s="898"/>
      <c r="E59" s="573"/>
      <c r="F59" s="549" t="s">
        <v>871</v>
      </c>
    </row>
    <row r="60" spans="2:6" x14ac:dyDescent="0.3">
      <c r="B60" s="583" t="s">
        <v>872</v>
      </c>
      <c r="C60" s="897"/>
      <c r="D60" s="898"/>
      <c r="E60" s="573"/>
      <c r="F60" s="549" t="s">
        <v>871</v>
      </c>
    </row>
    <row r="61" spans="2:6" ht="28.8" x14ac:dyDescent="0.3">
      <c r="B61" s="586" t="s">
        <v>873</v>
      </c>
      <c r="C61" s="908">
        <v>1700</v>
      </c>
      <c r="D61" s="909">
        <v>2057</v>
      </c>
      <c r="E61" s="587"/>
    </row>
    <row r="62" spans="2:6" x14ac:dyDescent="0.3">
      <c r="B62" s="589" t="s">
        <v>874</v>
      </c>
      <c r="C62" s="897"/>
      <c r="D62" s="898"/>
      <c r="E62" s="573"/>
      <c r="F62" s="549" t="s">
        <v>871</v>
      </c>
    </row>
    <row r="63" spans="2:6" x14ac:dyDescent="0.3">
      <c r="B63" s="585" t="s">
        <v>875</v>
      </c>
      <c r="C63" s="899">
        <v>793.05</v>
      </c>
      <c r="D63" s="900">
        <v>959.59</v>
      </c>
      <c r="E63" s="569"/>
      <c r="F63" s="549" t="s">
        <v>876</v>
      </c>
    </row>
    <row r="64" spans="2:6" x14ac:dyDescent="0.3">
      <c r="B64" s="585" t="s">
        <v>877</v>
      </c>
      <c r="C64" s="899">
        <v>398</v>
      </c>
      <c r="D64" s="900">
        <v>481.58</v>
      </c>
      <c r="E64" s="569"/>
    </row>
    <row r="65" spans="2:6" ht="14.25" customHeight="1" x14ac:dyDescent="0.3">
      <c r="B65" s="583" t="s">
        <v>878</v>
      </c>
      <c r="C65" s="897">
        <v>0</v>
      </c>
      <c r="D65" s="898">
        <v>0</v>
      </c>
      <c r="E65" s="573"/>
      <c r="F65" s="549" t="s">
        <v>879</v>
      </c>
    </row>
    <row r="66" spans="2:6" x14ac:dyDescent="0.3">
      <c r="B66" s="590" t="s">
        <v>880</v>
      </c>
      <c r="C66" s="910">
        <v>5997.77</v>
      </c>
      <c r="D66" s="900">
        <v>7257.3</v>
      </c>
      <c r="E66" s="591"/>
    </row>
    <row r="67" spans="2:6" x14ac:dyDescent="0.3">
      <c r="B67" s="592" t="s">
        <v>881</v>
      </c>
      <c r="C67" s="911">
        <v>1365</v>
      </c>
      <c r="D67" s="900">
        <v>1651.65</v>
      </c>
      <c r="E67" s="593"/>
    </row>
    <row r="68" spans="2:6" x14ac:dyDescent="0.3">
      <c r="B68" s="592" t="s">
        <v>882</v>
      </c>
      <c r="C68" s="911">
        <v>355.37</v>
      </c>
      <c r="D68" s="900">
        <v>429.99</v>
      </c>
      <c r="E68" s="593"/>
    </row>
    <row r="69" spans="2:6" ht="28.8" x14ac:dyDescent="0.3">
      <c r="B69" s="570" t="s">
        <v>883</v>
      </c>
      <c r="C69" s="899">
        <v>283.2</v>
      </c>
      <c r="D69" s="900">
        <v>342.67</v>
      </c>
      <c r="E69" s="569"/>
    </row>
    <row r="70" spans="2:6" x14ac:dyDescent="0.3">
      <c r="B70" s="562" t="s">
        <v>884</v>
      </c>
      <c r="C70" s="912"/>
      <c r="D70" s="913"/>
      <c r="E70" s="565"/>
    </row>
    <row r="71" spans="2:6" ht="72" x14ac:dyDescent="0.3">
      <c r="B71" s="566" t="s">
        <v>885</v>
      </c>
      <c r="C71" s="897">
        <v>0</v>
      </c>
      <c r="D71" s="898">
        <v>0</v>
      </c>
      <c r="E71" s="573"/>
      <c r="F71" s="549" t="s">
        <v>824</v>
      </c>
    </row>
    <row r="72" spans="2:6" x14ac:dyDescent="0.3">
      <c r="B72" s="594" t="s">
        <v>886</v>
      </c>
      <c r="C72" s="914"/>
      <c r="D72" s="915"/>
      <c r="E72" s="595"/>
    </row>
    <row r="73" spans="2:6" x14ac:dyDescent="0.3">
      <c r="B73" s="575" t="s">
        <v>887</v>
      </c>
      <c r="C73" s="897">
        <v>0</v>
      </c>
      <c r="D73" s="898">
        <v>0</v>
      </c>
      <c r="E73" s="573"/>
      <c r="F73" s="581" t="s">
        <v>824</v>
      </c>
    </row>
    <row r="74" spans="2:6" x14ac:dyDescent="0.3">
      <c r="B74" s="570" t="s">
        <v>888</v>
      </c>
      <c r="C74" s="899">
        <v>132.5</v>
      </c>
      <c r="D74" s="900">
        <v>160.33000000000001</v>
      </c>
      <c r="E74" s="569"/>
    </row>
    <row r="75" spans="2:6" x14ac:dyDescent="0.3">
      <c r="B75" s="570" t="s">
        <v>889</v>
      </c>
      <c r="C75" s="899">
        <v>370</v>
      </c>
      <c r="D75" s="900">
        <v>447.7</v>
      </c>
      <c r="E75" s="569"/>
    </row>
    <row r="76" spans="2:6" x14ac:dyDescent="0.3">
      <c r="B76" s="570" t="s">
        <v>890</v>
      </c>
      <c r="C76" s="899">
        <v>180</v>
      </c>
      <c r="D76" s="900">
        <v>217.8</v>
      </c>
      <c r="E76" s="569"/>
    </row>
    <row r="77" spans="2:6" x14ac:dyDescent="0.3">
      <c r="B77" s="570" t="s">
        <v>891</v>
      </c>
      <c r="C77" s="899">
        <v>341.06</v>
      </c>
      <c r="D77" s="900">
        <v>412.68</v>
      </c>
      <c r="E77" s="569"/>
    </row>
    <row r="78" spans="2:6" x14ac:dyDescent="0.3">
      <c r="B78" s="570" t="s">
        <v>892</v>
      </c>
      <c r="C78" s="899">
        <v>65</v>
      </c>
      <c r="D78" s="900">
        <v>78.650000000000006</v>
      </c>
      <c r="E78" s="569"/>
    </row>
    <row r="79" spans="2:6" x14ac:dyDescent="0.3">
      <c r="B79" s="570" t="s">
        <v>893</v>
      </c>
      <c r="C79" s="899">
        <v>111.53</v>
      </c>
      <c r="D79" s="900">
        <v>134.94999999999999</v>
      </c>
      <c r="E79" s="569"/>
    </row>
    <row r="80" spans="2:6" x14ac:dyDescent="0.3">
      <c r="B80" s="570" t="s">
        <v>894</v>
      </c>
      <c r="C80" s="899">
        <v>1127</v>
      </c>
      <c r="D80" s="916">
        <v>1127</v>
      </c>
      <c r="E80" s="569"/>
    </row>
    <row r="81" spans="2:6" ht="28.8" x14ac:dyDescent="0.3">
      <c r="B81" s="566" t="s">
        <v>895</v>
      </c>
      <c r="C81" s="897">
        <v>0</v>
      </c>
      <c r="D81" s="898">
        <v>0</v>
      </c>
      <c r="E81" s="573"/>
      <c r="F81" s="581" t="s">
        <v>824</v>
      </c>
    </row>
    <row r="82" spans="2:6" ht="28.8" x14ac:dyDescent="0.3">
      <c r="B82" s="570" t="s">
        <v>896</v>
      </c>
      <c r="C82" s="899">
        <v>495</v>
      </c>
      <c r="D82" s="900">
        <v>598.95000000000005</v>
      </c>
      <c r="E82" s="569"/>
      <c r="F82" s="545" t="s">
        <v>897</v>
      </c>
    </row>
    <row r="83" spans="2:6" ht="28.8" x14ac:dyDescent="0.3">
      <c r="B83" s="570" t="s">
        <v>898</v>
      </c>
      <c r="C83" s="899">
        <v>499.99</v>
      </c>
      <c r="D83" s="900">
        <v>605</v>
      </c>
      <c r="E83" s="569"/>
    </row>
    <row r="84" spans="2:6" x14ac:dyDescent="0.3">
      <c r="B84" s="566" t="s">
        <v>899</v>
      </c>
      <c r="C84" s="897">
        <v>0</v>
      </c>
      <c r="D84" s="898"/>
      <c r="E84" s="573"/>
      <c r="F84" s="549" t="s">
        <v>900</v>
      </c>
    </row>
    <row r="85" spans="2:6" ht="14.25" customHeight="1" x14ac:dyDescent="0.3">
      <c r="B85" s="596" t="s">
        <v>901</v>
      </c>
      <c r="C85" s="908">
        <v>490</v>
      </c>
      <c r="D85" s="909">
        <v>592.9</v>
      </c>
      <c r="E85" s="587"/>
    </row>
    <row r="86" spans="2:6" ht="14.25" customHeight="1" x14ac:dyDescent="0.3">
      <c r="B86" s="596" t="s">
        <v>902</v>
      </c>
      <c r="C86" s="908">
        <v>490</v>
      </c>
      <c r="D86" s="909">
        <v>592.9</v>
      </c>
      <c r="E86" s="587"/>
    </row>
    <row r="87" spans="2:6" x14ac:dyDescent="0.3">
      <c r="B87" s="596" t="s">
        <v>903</v>
      </c>
      <c r="C87" s="908">
        <v>490</v>
      </c>
      <c r="D87" s="909">
        <v>592.9</v>
      </c>
      <c r="E87" s="587"/>
    </row>
    <row r="88" spans="2:6" x14ac:dyDescent="0.3">
      <c r="B88" s="566" t="s">
        <v>904</v>
      </c>
      <c r="C88" s="897">
        <v>0</v>
      </c>
      <c r="D88" s="898">
        <v>0</v>
      </c>
      <c r="E88" s="573"/>
    </row>
    <row r="89" spans="2:6" x14ac:dyDescent="0.3">
      <c r="B89" s="566" t="s">
        <v>905</v>
      </c>
      <c r="C89" s="897">
        <v>0</v>
      </c>
      <c r="D89" s="898">
        <v>0</v>
      </c>
      <c r="E89" s="573"/>
    </row>
    <row r="90" spans="2:6" x14ac:dyDescent="0.3">
      <c r="B90" s="570" t="s">
        <v>906</v>
      </c>
      <c r="C90" s="899">
        <v>300</v>
      </c>
      <c r="D90" s="900">
        <v>363</v>
      </c>
      <c r="E90" s="569"/>
    </row>
    <row r="91" spans="2:6" x14ac:dyDescent="0.3">
      <c r="B91" s="570" t="s">
        <v>907</v>
      </c>
      <c r="C91" s="899">
        <v>495</v>
      </c>
      <c r="D91" s="900">
        <v>598.95000000000005</v>
      </c>
      <c r="E91" s="569"/>
    </row>
    <row r="92" spans="2:6" ht="28.8" x14ac:dyDescent="0.3">
      <c r="B92" s="597" t="s">
        <v>908</v>
      </c>
      <c r="C92" s="917"/>
      <c r="D92" s="915"/>
      <c r="E92" s="595"/>
    </row>
    <row r="93" spans="2:6" x14ac:dyDescent="0.3">
      <c r="B93" s="566" t="s">
        <v>909</v>
      </c>
      <c r="C93" s="897">
        <v>0</v>
      </c>
      <c r="D93" s="898">
        <v>0</v>
      </c>
      <c r="E93" s="573"/>
      <c r="F93" s="549" t="s">
        <v>900</v>
      </c>
    </row>
    <row r="94" spans="2:6" ht="28.8" x14ac:dyDescent="0.3">
      <c r="B94" s="592" t="s">
        <v>910</v>
      </c>
      <c r="C94" s="899">
        <v>1000</v>
      </c>
      <c r="D94" s="900">
        <v>1210</v>
      </c>
      <c r="E94" s="569"/>
      <c r="F94" s="545" t="s">
        <v>897</v>
      </c>
    </row>
    <row r="95" spans="2:6" x14ac:dyDescent="0.3">
      <c r="B95" s="566" t="s">
        <v>911</v>
      </c>
      <c r="C95" s="897">
        <v>0</v>
      </c>
      <c r="D95" s="898">
        <v>0</v>
      </c>
      <c r="E95" s="573"/>
      <c r="F95" s="549" t="s">
        <v>900</v>
      </c>
    </row>
    <row r="96" spans="2:6" x14ac:dyDescent="0.3">
      <c r="B96" s="566" t="s">
        <v>912</v>
      </c>
      <c r="C96" s="897">
        <v>0</v>
      </c>
      <c r="D96" s="898">
        <v>0</v>
      </c>
      <c r="E96" s="573"/>
      <c r="F96" s="549" t="s">
        <v>900</v>
      </c>
    </row>
    <row r="97" spans="2:6" ht="28.8" x14ac:dyDescent="0.3">
      <c r="B97" s="592" t="s">
        <v>913</v>
      </c>
      <c r="C97" s="899">
        <v>371.9</v>
      </c>
      <c r="D97" s="900">
        <v>450</v>
      </c>
      <c r="E97" s="569"/>
    </row>
    <row r="98" spans="2:6" ht="28.8" x14ac:dyDescent="0.3">
      <c r="B98" s="592" t="s">
        <v>914</v>
      </c>
      <c r="C98" s="899">
        <v>361.57</v>
      </c>
      <c r="D98" s="900">
        <v>437.5</v>
      </c>
      <c r="E98" s="569"/>
      <c r="F98" s="545" t="s">
        <v>897</v>
      </c>
    </row>
    <row r="99" spans="2:6" x14ac:dyDescent="0.3">
      <c r="B99" s="598" t="s">
        <v>915</v>
      </c>
      <c r="C99" s="899">
        <v>1885.29</v>
      </c>
      <c r="D99" s="900">
        <v>1885.29</v>
      </c>
      <c r="E99" s="569"/>
    </row>
    <row r="100" spans="2:6" ht="28.8" x14ac:dyDescent="0.3">
      <c r="B100" s="570" t="s">
        <v>916</v>
      </c>
      <c r="C100" s="899">
        <v>700</v>
      </c>
      <c r="D100" s="900">
        <v>847</v>
      </c>
      <c r="E100" s="569"/>
    </row>
    <row r="101" spans="2:6" x14ac:dyDescent="0.3">
      <c r="B101" s="570" t="s">
        <v>917</v>
      </c>
      <c r="C101" s="899">
        <v>123.97</v>
      </c>
      <c r="D101" s="900">
        <v>150</v>
      </c>
      <c r="E101" s="569"/>
      <c r="F101" s="549" t="s">
        <v>918</v>
      </c>
    </row>
    <row r="102" spans="2:6" x14ac:dyDescent="0.3">
      <c r="B102" s="566" t="s">
        <v>919</v>
      </c>
      <c r="C102" s="897">
        <v>0</v>
      </c>
      <c r="D102" s="898">
        <v>0</v>
      </c>
      <c r="E102" s="573"/>
      <c r="F102" s="549" t="s">
        <v>920</v>
      </c>
    </row>
    <row r="103" spans="2:6" x14ac:dyDescent="0.3">
      <c r="B103" s="566" t="s">
        <v>921</v>
      </c>
      <c r="C103" s="897">
        <v>0</v>
      </c>
      <c r="D103" s="898">
        <v>0</v>
      </c>
      <c r="E103" s="573"/>
      <c r="F103" s="549" t="s">
        <v>900</v>
      </c>
    </row>
    <row r="104" spans="2:6" x14ac:dyDescent="0.3">
      <c r="B104" s="566" t="s">
        <v>922</v>
      </c>
      <c r="C104" s="897">
        <v>0</v>
      </c>
      <c r="D104" s="898">
        <v>0</v>
      </c>
      <c r="E104" s="573"/>
      <c r="F104" s="549" t="s">
        <v>900</v>
      </c>
    </row>
    <row r="105" spans="2:6" x14ac:dyDescent="0.3">
      <c r="B105" s="566" t="s">
        <v>923</v>
      </c>
      <c r="C105" s="897">
        <v>0</v>
      </c>
      <c r="D105" s="898">
        <v>0</v>
      </c>
      <c r="E105" s="599"/>
      <c r="F105" s="549" t="s">
        <v>900</v>
      </c>
    </row>
    <row r="106" spans="2:6" x14ac:dyDescent="0.3">
      <c r="B106" s="566" t="s">
        <v>924</v>
      </c>
      <c r="C106" s="897">
        <v>0</v>
      </c>
      <c r="D106" s="898">
        <v>0</v>
      </c>
      <c r="E106" s="573"/>
      <c r="F106" s="549" t="s">
        <v>824</v>
      </c>
    </row>
    <row r="107" spans="2:6" ht="28.8" x14ac:dyDescent="0.3">
      <c r="B107" s="566" t="s">
        <v>925</v>
      </c>
      <c r="C107" s="897">
        <v>0</v>
      </c>
      <c r="D107" s="898">
        <v>0</v>
      </c>
      <c r="E107" s="573"/>
      <c r="F107" s="549" t="s">
        <v>824</v>
      </c>
    </row>
    <row r="108" spans="2:6" x14ac:dyDescent="0.3">
      <c r="B108" s="600"/>
      <c r="C108" s="601"/>
      <c r="D108" s="602"/>
      <c r="E108" s="603"/>
    </row>
    <row r="109" spans="2:6" x14ac:dyDescent="0.3">
      <c r="B109" s="545" t="s">
        <v>926</v>
      </c>
      <c r="C109" s="546" t="s">
        <v>927</v>
      </c>
    </row>
    <row r="110" spans="2:6" x14ac:dyDescent="0.3">
      <c r="C110" s="546" t="s">
        <v>928</v>
      </c>
    </row>
    <row r="111" spans="2:6" x14ac:dyDescent="0.3">
      <c r="C111" s="546" t="s">
        <v>929</v>
      </c>
    </row>
    <row r="112" spans="2:6" x14ac:dyDescent="0.3">
      <c r="C112" s="546" t="s">
        <v>930</v>
      </c>
    </row>
    <row r="113" spans="2:4" x14ac:dyDescent="0.3">
      <c r="C113" s="546" t="s">
        <v>931</v>
      </c>
    </row>
    <row r="114" spans="2:4" x14ac:dyDescent="0.3">
      <c r="C114" s="546" t="s">
        <v>932</v>
      </c>
      <c r="D114" s="604"/>
    </row>
    <row r="115" spans="2:4" x14ac:dyDescent="0.3">
      <c r="B115" s="600" t="s">
        <v>933</v>
      </c>
    </row>
    <row r="116" spans="2:4" x14ac:dyDescent="0.3">
      <c r="B116" s="605" t="s">
        <v>934</v>
      </c>
    </row>
    <row r="117" spans="2:4" x14ac:dyDescent="0.3">
      <c r="B117" s="545" t="s">
        <v>935</v>
      </c>
    </row>
    <row r="118" spans="2:4" x14ac:dyDescent="0.3">
      <c r="B118" s="545" t="s">
        <v>936</v>
      </c>
    </row>
    <row r="119" spans="2:4" x14ac:dyDescent="0.3">
      <c r="B119" s="606" t="s">
        <v>937</v>
      </c>
    </row>
    <row r="120" spans="2:4" x14ac:dyDescent="0.3">
      <c r="B120" s="606" t="s">
        <v>938</v>
      </c>
    </row>
    <row r="121" spans="2:4" x14ac:dyDescent="0.3">
      <c r="B121" s="607" t="s">
        <v>939</v>
      </c>
    </row>
  </sheetData>
  <hyperlinks>
    <hyperlink ref="B121" r:id="rId1" xr:uid="{385166C8-D87A-49A9-AD35-E3EACB7B8A8A}"/>
  </hyperlinks>
  <pageMargins left="0.19685039370078741" right="0.15748031496062992" top="0.15748031496062992" bottom="0" header="0.31496062992125984" footer="0.31496062992125984"/>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68D0-688C-459C-831B-EBF80161FDA0}">
  <sheetPr>
    <tabColor theme="7" tint="0.59999389629810485"/>
  </sheetPr>
  <dimension ref="B1:L48"/>
  <sheetViews>
    <sheetView topLeftCell="A28" zoomScale="140" zoomScaleNormal="140" workbookViewId="0">
      <selection activeCell="K17" sqref="K17"/>
    </sheetView>
  </sheetViews>
  <sheetFormatPr defaultColWidth="10" defaultRowHeight="14.4" x14ac:dyDescent="0.3"/>
  <cols>
    <col min="1" max="1" width="10" style="754"/>
    <col min="2" max="2" width="11.625" style="754" bestFit="1" customWidth="1"/>
    <col min="3" max="3" width="6.375" style="754" customWidth="1"/>
    <col min="4" max="4" width="10.625" style="754" bestFit="1" customWidth="1"/>
    <col min="5" max="5" width="9.375" style="754" bestFit="1" customWidth="1"/>
    <col min="6" max="6" width="8.625" style="754" customWidth="1"/>
    <col min="7" max="7" width="29.75" style="754" bestFit="1" customWidth="1"/>
    <col min="8" max="8" width="2.375" style="754" bestFit="1" customWidth="1"/>
    <col min="9" max="9" width="10" style="754" bestFit="1" customWidth="1"/>
    <col min="10" max="10" width="9" style="754" bestFit="1" customWidth="1"/>
    <col min="11" max="11" width="58.375" style="755" customWidth="1"/>
    <col min="12" max="16384" width="10" style="754"/>
  </cols>
  <sheetData>
    <row r="1" spans="2:11" x14ac:dyDescent="0.3">
      <c r="B1" s="754" t="s">
        <v>1050</v>
      </c>
    </row>
    <row r="2" spans="2:11" x14ac:dyDescent="0.3">
      <c r="B2" s="754" t="s">
        <v>1051</v>
      </c>
    </row>
    <row r="3" spans="2:11" x14ac:dyDescent="0.3">
      <c r="B3" s="754" t="s">
        <v>1052</v>
      </c>
    </row>
    <row r="4" spans="2:11" x14ac:dyDescent="0.3">
      <c r="B4" s="754" t="s">
        <v>1053</v>
      </c>
    </row>
    <row r="5" spans="2:11" x14ac:dyDescent="0.3">
      <c r="B5" s="754" t="s">
        <v>1054</v>
      </c>
    </row>
    <row r="6" spans="2:11" ht="31.8" x14ac:dyDescent="0.3">
      <c r="B6" s="756" t="s">
        <v>153</v>
      </c>
      <c r="C6" s="757" t="s">
        <v>553</v>
      </c>
      <c r="D6" s="758" t="s">
        <v>346</v>
      </c>
      <c r="E6" s="759" t="s">
        <v>154</v>
      </c>
      <c r="F6" s="760" t="s">
        <v>221</v>
      </c>
      <c r="G6" s="761" t="s">
        <v>152</v>
      </c>
      <c r="H6" s="762" t="s">
        <v>543</v>
      </c>
      <c r="I6" s="763" t="s">
        <v>790</v>
      </c>
      <c r="J6" s="764" t="s">
        <v>791</v>
      </c>
    </row>
    <row r="7" spans="2:11" x14ac:dyDescent="0.3">
      <c r="B7" s="765" t="s">
        <v>228</v>
      </c>
      <c r="C7" s="765" t="s">
        <v>227</v>
      </c>
      <c r="D7" s="766" t="s">
        <v>701</v>
      </c>
      <c r="E7" s="765" t="s">
        <v>1055</v>
      </c>
      <c r="F7" s="767">
        <v>1148</v>
      </c>
      <c r="G7" s="768" t="s">
        <v>155</v>
      </c>
      <c r="H7" s="769"/>
      <c r="I7" s="770">
        <f>SUM(J8:J10)</f>
        <v>7300</v>
      </c>
      <c r="J7" s="771"/>
      <c r="K7" s="755" t="s">
        <v>1056</v>
      </c>
    </row>
    <row r="8" spans="2:11" ht="30.6" x14ac:dyDescent="0.3">
      <c r="B8" s="772" t="s">
        <v>228</v>
      </c>
      <c r="C8" s="772" t="s">
        <v>227</v>
      </c>
      <c r="D8" s="773"/>
      <c r="E8" s="772" t="s">
        <v>1055</v>
      </c>
      <c r="F8" s="774">
        <v>1148</v>
      </c>
      <c r="G8" s="775" t="s">
        <v>1057</v>
      </c>
      <c r="H8" s="769"/>
      <c r="I8" s="776"/>
      <c r="J8" s="777">
        <v>3200</v>
      </c>
    </row>
    <row r="9" spans="2:11" ht="40.799999999999997" x14ac:dyDescent="0.3">
      <c r="B9" s="772" t="s">
        <v>228</v>
      </c>
      <c r="C9" s="772" t="s">
        <v>227</v>
      </c>
      <c r="D9" s="773"/>
      <c r="E9" s="772" t="s">
        <v>164</v>
      </c>
      <c r="F9" s="774">
        <v>1148</v>
      </c>
      <c r="G9" s="775" t="s">
        <v>1058</v>
      </c>
      <c r="H9" s="769"/>
      <c r="I9" s="776"/>
      <c r="J9" s="777">
        <v>2700</v>
      </c>
    </row>
    <row r="10" spans="2:11" ht="40.799999999999997" x14ac:dyDescent="0.3">
      <c r="B10" s="772" t="s">
        <v>228</v>
      </c>
      <c r="C10" s="772" t="s">
        <v>227</v>
      </c>
      <c r="D10" s="773"/>
      <c r="E10" s="772" t="s">
        <v>164</v>
      </c>
      <c r="F10" s="774">
        <v>1148</v>
      </c>
      <c r="G10" s="775" t="s">
        <v>1059</v>
      </c>
      <c r="H10" s="769"/>
      <c r="I10" s="776"/>
      <c r="J10" s="777">
        <v>1400</v>
      </c>
    </row>
    <row r="11" spans="2:11" x14ac:dyDescent="0.3">
      <c r="B11" s="765" t="s">
        <v>228</v>
      </c>
      <c r="C11" s="765" t="s">
        <v>225</v>
      </c>
      <c r="D11" s="766" t="s">
        <v>701</v>
      </c>
      <c r="E11" s="765" t="s">
        <v>1055</v>
      </c>
      <c r="F11" s="767">
        <v>1210</v>
      </c>
      <c r="G11" s="768" t="s">
        <v>156</v>
      </c>
      <c r="H11" s="778"/>
      <c r="I11" s="779">
        <f>J12</f>
        <v>1853</v>
      </c>
      <c r="J11" s="771"/>
    </row>
    <row r="12" spans="2:11" x14ac:dyDescent="0.3">
      <c r="B12" s="780" t="s">
        <v>228</v>
      </c>
      <c r="C12" s="780" t="s">
        <v>225</v>
      </c>
      <c r="D12" s="781"/>
      <c r="E12" s="780" t="s">
        <v>1055</v>
      </c>
      <c r="F12" s="782">
        <v>1210</v>
      </c>
      <c r="G12" s="775" t="s">
        <v>228</v>
      </c>
      <c r="H12" s="778"/>
      <c r="I12" s="783"/>
      <c r="J12" s="784">
        <v>1853</v>
      </c>
    </row>
    <row r="13" spans="2:11" ht="20.399999999999999" x14ac:dyDescent="0.3">
      <c r="B13" s="765" t="s">
        <v>554</v>
      </c>
      <c r="C13" s="765" t="s">
        <v>179</v>
      </c>
      <c r="D13" s="766" t="s">
        <v>701</v>
      </c>
      <c r="E13" s="765" t="s">
        <v>1055</v>
      </c>
      <c r="F13" s="767">
        <v>2233</v>
      </c>
      <c r="G13" s="768" t="s">
        <v>163</v>
      </c>
      <c r="H13" s="778"/>
      <c r="I13" s="770">
        <f>SUM(J14:J15:J16)</f>
        <v>60300</v>
      </c>
      <c r="J13" s="771"/>
      <c r="K13" s="755" t="s">
        <v>1060</v>
      </c>
    </row>
    <row r="14" spans="2:11" ht="60.6" x14ac:dyDescent="0.3">
      <c r="B14" s="772" t="s">
        <v>554</v>
      </c>
      <c r="C14" s="772" t="s">
        <v>179</v>
      </c>
      <c r="D14" s="773"/>
      <c r="E14" s="772" t="s">
        <v>1055</v>
      </c>
      <c r="F14" s="774">
        <v>2233</v>
      </c>
      <c r="G14" s="785" t="s">
        <v>1061</v>
      </c>
      <c r="H14" s="786"/>
      <c r="I14" s="1043"/>
      <c r="J14" s="777">
        <v>28350</v>
      </c>
      <c r="K14" s="787" t="s">
        <v>1062</v>
      </c>
    </row>
    <row r="15" spans="2:11" ht="60.6" x14ac:dyDescent="0.3">
      <c r="B15" s="772" t="s">
        <v>554</v>
      </c>
      <c r="C15" s="772" t="s">
        <v>179</v>
      </c>
      <c r="D15" s="773"/>
      <c r="E15" s="772" t="s">
        <v>164</v>
      </c>
      <c r="F15" s="774">
        <v>2233</v>
      </c>
      <c r="G15" s="785" t="s">
        <v>1063</v>
      </c>
      <c r="H15" s="786"/>
      <c r="I15" s="1043"/>
      <c r="J15" s="777">
        <v>21150</v>
      </c>
      <c r="K15" s="787" t="s">
        <v>1064</v>
      </c>
    </row>
    <row r="16" spans="2:11" ht="36.6" x14ac:dyDescent="0.3">
      <c r="B16" s="772" t="s">
        <v>554</v>
      </c>
      <c r="C16" s="772" t="s">
        <v>179</v>
      </c>
      <c r="D16" s="773"/>
      <c r="E16" s="772" t="s">
        <v>164</v>
      </c>
      <c r="F16" s="774">
        <v>2233</v>
      </c>
      <c r="G16" s="785" t="s">
        <v>1065</v>
      </c>
      <c r="H16" s="786"/>
      <c r="I16" s="1043"/>
      <c r="J16" s="777">
        <v>10800</v>
      </c>
      <c r="K16" s="787" t="s">
        <v>1066</v>
      </c>
    </row>
    <row r="17" spans="2:12" x14ac:dyDescent="0.3">
      <c r="B17" s="788" t="s">
        <v>182</v>
      </c>
      <c r="C17" s="788" t="s">
        <v>193</v>
      </c>
      <c r="D17" s="789" t="s">
        <v>701</v>
      </c>
      <c r="E17" s="788" t="s">
        <v>164</v>
      </c>
      <c r="F17" s="790">
        <v>2239</v>
      </c>
      <c r="G17" s="791" t="s">
        <v>1067</v>
      </c>
      <c r="H17" s="792"/>
      <c r="I17" s="1046">
        <f>SUM(J18:J24)</f>
        <v>49732.6</v>
      </c>
      <c r="J17" s="1047"/>
      <c r="K17" s="793" t="s">
        <v>1068</v>
      </c>
    </row>
    <row r="18" spans="2:12" ht="48.6" x14ac:dyDescent="0.3">
      <c r="B18" s="794" t="s">
        <v>182</v>
      </c>
      <c r="C18" s="794" t="s">
        <v>193</v>
      </c>
      <c r="D18" s="795"/>
      <c r="E18" s="794" t="s">
        <v>164</v>
      </c>
      <c r="F18" s="796">
        <v>2239</v>
      </c>
      <c r="G18" s="797" t="s">
        <v>1069</v>
      </c>
      <c r="H18" s="798"/>
      <c r="I18" s="1048"/>
      <c r="J18" s="1049">
        <v>21042</v>
      </c>
      <c r="K18" s="787" t="s">
        <v>1070</v>
      </c>
      <c r="L18" s="799"/>
    </row>
    <row r="19" spans="2:12" ht="48.6" x14ac:dyDescent="0.3">
      <c r="B19" s="794" t="s">
        <v>182</v>
      </c>
      <c r="C19" s="794" t="s">
        <v>193</v>
      </c>
      <c r="D19" s="795"/>
      <c r="E19" s="794" t="s">
        <v>164</v>
      </c>
      <c r="F19" s="796">
        <v>2239</v>
      </c>
      <c r="G19" s="797" t="s">
        <v>1071</v>
      </c>
      <c r="H19" s="798"/>
      <c r="I19" s="1048"/>
      <c r="J19" s="1049">
        <v>17401</v>
      </c>
      <c r="K19" s="787" t="s">
        <v>1072</v>
      </c>
    </row>
    <row r="20" spans="2:12" ht="24.6" x14ac:dyDescent="0.3">
      <c r="B20" s="794" t="s">
        <v>182</v>
      </c>
      <c r="C20" s="794" t="s">
        <v>193</v>
      </c>
      <c r="D20" s="795"/>
      <c r="E20" s="794" t="s">
        <v>164</v>
      </c>
      <c r="F20" s="796">
        <v>2239</v>
      </c>
      <c r="G20" s="797" t="s">
        <v>1073</v>
      </c>
      <c r="H20" s="798"/>
      <c r="I20" s="1048"/>
      <c r="J20" s="1049">
        <v>9002</v>
      </c>
      <c r="K20" s="787" t="s">
        <v>1074</v>
      </c>
    </row>
    <row r="21" spans="2:12" x14ac:dyDescent="0.3">
      <c r="B21" s="772"/>
      <c r="C21" s="772"/>
      <c r="D21" s="773"/>
      <c r="E21" s="772"/>
      <c r="F21" s="800"/>
      <c r="G21" s="785"/>
      <c r="H21" s="786"/>
      <c r="I21" s="1043"/>
      <c r="J21" s="777"/>
      <c r="K21" s="801" t="s">
        <v>1075</v>
      </c>
    </row>
    <row r="22" spans="2:12" ht="36.6" x14ac:dyDescent="0.3">
      <c r="B22" s="772" t="s">
        <v>354</v>
      </c>
      <c r="C22" s="772" t="s">
        <v>193</v>
      </c>
      <c r="D22" s="773"/>
      <c r="E22" s="772" t="s">
        <v>164</v>
      </c>
      <c r="F22" s="800">
        <v>2239</v>
      </c>
      <c r="G22" s="785" t="s">
        <v>1076</v>
      </c>
      <c r="H22" s="786"/>
      <c r="I22" s="1043"/>
      <c r="J22" s="777">
        <v>1089</v>
      </c>
      <c r="K22" s="787" t="s">
        <v>1077</v>
      </c>
    </row>
    <row r="23" spans="2:12" ht="36.6" x14ac:dyDescent="0.3">
      <c r="B23" s="772" t="s">
        <v>354</v>
      </c>
      <c r="C23" s="772" t="s">
        <v>193</v>
      </c>
      <c r="D23" s="773"/>
      <c r="E23" s="772" t="s">
        <v>164</v>
      </c>
      <c r="F23" s="800">
        <v>2239</v>
      </c>
      <c r="G23" s="785" t="s">
        <v>1078</v>
      </c>
      <c r="H23" s="786"/>
      <c r="I23" s="1043"/>
      <c r="J23" s="777">
        <v>763</v>
      </c>
      <c r="K23" s="787" t="s">
        <v>1079</v>
      </c>
    </row>
    <row r="24" spans="2:12" ht="36.6" x14ac:dyDescent="0.3">
      <c r="B24" s="772" t="s">
        <v>354</v>
      </c>
      <c r="C24" s="772" t="s">
        <v>193</v>
      </c>
      <c r="D24" s="773"/>
      <c r="E24" s="772" t="s">
        <v>164</v>
      </c>
      <c r="F24" s="800">
        <v>2239</v>
      </c>
      <c r="G24" s="785" t="s">
        <v>1080</v>
      </c>
      <c r="H24" s="786"/>
      <c r="I24" s="1043"/>
      <c r="J24" s="777">
        <v>435.6</v>
      </c>
      <c r="K24" s="787" t="s">
        <v>1081</v>
      </c>
    </row>
    <row r="25" spans="2:12" x14ac:dyDescent="0.3">
      <c r="B25" s="765" t="s">
        <v>354</v>
      </c>
      <c r="C25" s="765" t="s">
        <v>193</v>
      </c>
      <c r="D25" s="766" t="s">
        <v>701</v>
      </c>
      <c r="E25" s="765" t="s">
        <v>164</v>
      </c>
      <c r="F25" s="767">
        <v>2239</v>
      </c>
      <c r="G25" s="768" t="s">
        <v>1082</v>
      </c>
      <c r="H25" s="778"/>
      <c r="I25" s="770">
        <f>SUM(J26:J28)</f>
        <v>2500</v>
      </c>
      <c r="J25" s="771"/>
    </row>
    <row r="26" spans="2:12" ht="30.6" x14ac:dyDescent="0.3">
      <c r="B26" s="772" t="s">
        <v>554</v>
      </c>
      <c r="C26" s="772" t="s">
        <v>180</v>
      </c>
      <c r="D26" s="773"/>
      <c r="E26" s="772" t="s">
        <v>164</v>
      </c>
      <c r="F26" s="774">
        <v>2239</v>
      </c>
      <c r="G26" s="785" t="s">
        <v>1083</v>
      </c>
      <c r="H26" s="786"/>
      <c r="I26" s="1043"/>
      <c r="J26" s="777">
        <v>2500</v>
      </c>
    </row>
    <row r="27" spans="2:12" x14ac:dyDescent="0.3">
      <c r="B27" s="765" t="s">
        <v>566</v>
      </c>
      <c r="C27" s="765" t="s">
        <v>187</v>
      </c>
      <c r="D27" s="766" t="s">
        <v>701</v>
      </c>
      <c r="E27" s="765" t="s">
        <v>164</v>
      </c>
      <c r="F27" s="767">
        <v>2312</v>
      </c>
      <c r="G27" s="768" t="s">
        <v>162</v>
      </c>
      <c r="H27" s="778"/>
      <c r="I27" s="770">
        <f>SUM(J29:J35)</f>
        <v>11960</v>
      </c>
      <c r="J27" s="771"/>
    </row>
    <row r="28" spans="2:12" ht="20.399999999999999" x14ac:dyDescent="0.3">
      <c r="B28" s="772"/>
      <c r="C28" s="772"/>
      <c r="D28" s="773"/>
      <c r="E28" s="772"/>
      <c r="F28" s="774"/>
      <c r="G28" s="802" t="s">
        <v>1084</v>
      </c>
      <c r="H28" s="786"/>
      <c r="I28" s="1043"/>
      <c r="J28" s="777"/>
    </row>
    <row r="29" spans="2:12" s="806" customFormat="1" ht="48" x14ac:dyDescent="0.2">
      <c r="B29" s="772" t="s">
        <v>566</v>
      </c>
      <c r="C29" s="772" t="s">
        <v>187</v>
      </c>
      <c r="D29" s="773"/>
      <c r="E29" s="772" t="s">
        <v>164</v>
      </c>
      <c r="F29" s="774">
        <v>2312</v>
      </c>
      <c r="G29" s="803" t="s">
        <v>1085</v>
      </c>
      <c r="H29" s="804"/>
      <c r="I29" s="1044"/>
      <c r="J29" s="1045">
        <v>1320</v>
      </c>
      <c r="K29" s="805" t="s">
        <v>1086</v>
      </c>
    </row>
    <row r="30" spans="2:12" ht="30.6" x14ac:dyDescent="0.3">
      <c r="B30" s="772" t="s">
        <v>566</v>
      </c>
      <c r="C30" s="772" t="s">
        <v>187</v>
      </c>
      <c r="D30" s="773"/>
      <c r="E30" s="772" t="s">
        <v>164</v>
      </c>
      <c r="F30" s="774">
        <v>2312</v>
      </c>
      <c r="G30" s="785" t="s">
        <v>1087</v>
      </c>
      <c r="H30" s="786"/>
      <c r="I30" s="1043"/>
      <c r="J30" s="777">
        <v>1640</v>
      </c>
      <c r="K30" s="805" t="s">
        <v>1088</v>
      </c>
    </row>
    <row r="31" spans="2:12" ht="30.6" x14ac:dyDescent="0.3">
      <c r="B31" s="772" t="s">
        <v>566</v>
      </c>
      <c r="C31" s="772" t="s">
        <v>187</v>
      </c>
      <c r="D31" s="773"/>
      <c r="E31" s="772" t="s">
        <v>164</v>
      </c>
      <c r="F31" s="774">
        <v>2312</v>
      </c>
      <c r="G31" s="785" t="s">
        <v>1089</v>
      </c>
      <c r="H31" s="786"/>
      <c r="I31" s="1043"/>
      <c r="J31" s="777">
        <v>1500</v>
      </c>
      <c r="K31" s="755" t="s">
        <v>1090</v>
      </c>
    </row>
    <row r="32" spans="2:12" ht="20.399999999999999" x14ac:dyDescent="0.3">
      <c r="B32" s="772"/>
      <c r="C32" s="772"/>
      <c r="D32" s="773"/>
      <c r="E32" s="772"/>
      <c r="F32" s="774"/>
      <c r="G32" s="802" t="s">
        <v>1091</v>
      </c>
      <c r="H32" s="786"/>
      <c r="I32" s="1043"/>
      <c r="J32" s="777"/>
    </row>
    <row r="33" spans="2:11" ht="24.6" x14ac:dyDescent="0.3">
      <c r="B33" s="772" t="s">
        <v>566</v>
      </c>
      <c r="C33" s="772" t="s">
        <v>187</v>
      </c>
      <c r="D33" s="773"/>
      <c r="E33" s="772" t="s">
        <v>164</v>
      </c>
      <c r="F33" s="774">
        <v>2312</v>
      </c>
      <c r="G33" s="807" t="s">
        <v>1092</v>
      </c>
      <c r="H33" s="786"/>
      <c r="I33" s="1043"/>
      <c r="J33" s="777">
        <v>3500</v>
      </c>
      <c r="K33" s="787" t="s">
        <v>1093</v>
      </c>
    </row>
    <row r="34" spans="2:11" ht="24.6" x14ac:dyDescent="0.3">
      <c r="B34" s="772" t="s">
        <v>566</v>
      </c>
      <c r="C34" s="772" t="s">
        <v>187</v>
      </c>
      <c r="D34" s="773"/>
      <c r="E34" s="772" t="s">
        <v>164</v>
      </c>
      <c r="F34" s="774">
        <v>2312</v>
      </c>
      <c r="G34" s="807" t="s">
        <v>1094</v>
      </c>
      <c r="H34" s="786"/>
      <c r="I34" s="1043"/>
      <c r="J34" s="777">
        <v>2000</v>
      </c>
      <c r="K34" s="787" t="s">
        <v>1095</v>
      </c>
    </row>
    <row r="35" spans="2:11" ht="36.6" x14ac:dyDescent="0.3">
      <c r="B35" s="772" t="s">
        <v>566</v>
      </c>
      <c r="C35" s="772" t="s">
        <v>187</v>
      </c>
      <c r="D35" s="773"/>
      <c r="E35" s="772" t="s">
        <v>164</v>
      </c>
      <c r="F35" s="774">
        <v>2312</v>
      </c>
      <c r="G35" s="807" t="s">
        <v>1096</v>
      </c>
      <c r="H35" s="786"/>
      <c r="I35" s="1043"/>
      <c r="J35" s="777">
        <v>2000</v>
      </c>
      <c r="K35" s="787" t="s">
        <v>1097</v>
      </c>
    </row>
    <row r="36" spans="2:11" x14ac:dyDescent="0.3">
      <c r="B36" s="765" t="s">
        <v>554</v>
      </c>
      <c r="C36" s="765" t="s">
        <v>179</v>
      </c>
      <c r="D36" s="766" t="s">
        <v>701</v>
      </c>
      <c r="E36" s="765" t="s">
        <v>164</v>
      </c>
      <c r="F36" s="767">
        <v>2390</v>
      </c>
      <c r="G36" s="768" t="s">
        <v>157</v>
      </c>
      <c r="H36" s="778"/>
      <c r="I36" s="770">
        <f>SUM(J37:J37)</f>
        <v>1500</v>
      </c>
      <c r="J36" s="771"/>
    </row>
    <row r="37" spans="2:11" ht="21" customHeight="1" x14ac:dyDescent="0.3">
      <c r="B37" s="772" t="s">
        <v>554</v>
      </c>
      <c r="C37" s="772" t="s">
        <v>179</v>
      </c>
      <c r="D37" s="773"/>
      <c r="E37" s="772" t="s">
        <v>164</v>
      </c>
      <c r="F37" s="774">
        <v>2390</v>
      </c>
      <c r="G37" s="785" t="s">
        <v>1098</v>
      </c>
      <c r="H37" s="786"/>
      <c r="I37" s="1043"/>
      <c r="J37" s="777">
        <v>1500</v>
      </c>
    </row>
    <row r="38" spans="2:11" x14ac:dyDescent="0.3">
      <c r="I38" s="1110">
        <f>SUM(I7:I37)</f>
        <v>135145.60000000001</v>
      </c>
      <c r="J38" s="808"/>
    </row>
    <row r="39" spans="2:11" x14ac:dyDescent="0.3">
      <c r="G39" s="1109" t="s">
        <v>1434</v>
      </c>
      <c r="I39" s="1108">
        <f>SUM(J18:J20)</f>
        <v>47445</v>
      </c>
    </row>
    <row r="40" spans="2:11" x14ac:dyDescent="0.3">
      <c r="G40" s="1109" t="s">
        <v>185</v>
      </c>
      <c r="I40" s="1108">
        <f>I38-I39</f>
        <v>87700.6</v>
      </c>
    </row>
    <row r="46" spans="2:11" ht="16.2" x14ac:dyDescent="0.3">
      <c r="B46" s="809" t="s">
        <v>1099</v>
      </c>
    </row>
    <row r="48" spans="2:11" ht="16.2" x14ac:dyDescent="0.3">
      <c r="B48" s="809" t="s">
        <v>1100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0546-BC86-42D4-AF94-B4EF60DFBC79}">
  <sheetPr>
    <tabColor theme="7" tint="0.59999389629810485"/>
  </sheetPr>
  <dimension ref="A1:J172"/>
  <sheetViews>
    <sheetView topLeftCell="A52" workbookViewId="0">
      <selection activeCell="G55" sqref="G55"/>
    </sheetView>
  </sheetViews>
  <sheetFormatPr defaultColWidth="31" defaultRowHeight="14.4" x14ac:dyDescent="0.3"/>
  <cols>
    <col min="1" max="2" width="31" style="608"/>
    <col min="3" max="3" width="26.75" style="608" customWidth="1"/>
    <col min="4" max="4" width="51.25" style="608" customWidth="1"/>
    <col min="5" max="5" width="15.375" style="608" customWidth="1"/>
    <col min="6" max="6" width="20.125" style="608" customWidth="1"/>
    <col min="7" max="7" width="31" style="609"/>
    <col min="8" max="8" width="10.875" style="610" customWidth="1"/>
    <col min="9" max="9" width="13.75" style="608" customWidth="1"/>
    <col min="10" max="10" width="13" style="608" customWidth="1"/>
    <col min="11" max="16384" width="31" style="608"/>
  </cols>
  <sheetData>
    <row r="1" spans="1:9" ht="15" thickBot="1" x14ac:dyDescent="0.35"/>
    <row r="2" spans="1:9" ht="18" thickBot="1" x14ac:dyDescent="0.35">
      <c r="B2" s="1599" t="s">
        <v>567</v>
      </c>
      <c r="C2" s="1600"/>
      <c r="D2" s="1600"/>
      <c r="E2" s="1600"/>
      <c r="F2" s="1600"/>
      <c r="G2" s="1601"/>
    </row>
    <row r="3" spans="1:9" ht="16.2" thickBot="1" x14ac:dyDescent="0.35">
      <c r="B3" s="1602" t="s">
        <v>568</v>
      </c>
      <c r="C3" s="1603"/>
      <c r="D3" s="1603"/>
      <c r="E3" s="1603"/>
      <c r="F3" s="1603"/>
      <c r="G3" s="1604"/>
    </row>
    <row r="4" spans="1:9" ht="58.95" customHeight="1" thickBot="1" x14ac:dyDescent="0.35">
      <c r="B4" s="611" t="s">
        <v>569</v>
      </c>
      <c r="C4" s="611" t="s">
        <v>570</v>
      </c>
      <c r="D4" s="612" t="s">
        <v>571</v>
      </c>
      <c r="E4" s="612" t="s">
        <v>162</v>
      </c>
      <c r="F4" s="612" t="s">
        <v>572</v>
      </c>
      <c r="G4" s="612" t="s">
        <v>573</v>
      </c>
    </row>
    <row r="5" spans="1:9" ht="15.6" x14ac:dyDescent="0.3">
      <c r="B5" s="1605" t="s">
        <v>574</v>
      </c>
      <c r="C5" s="1606"/>
      <c r="D5" s="1606"/>
      <c r="E5" s="1606"/>
      <c r="F5" s="1606"/>
      <c r="G5" s="1607"/>
    </row>
    <row r="6" spans="1:9" ht="15.6" x14ac:dyDescent="0.3">
      <c r="B6" s="613" t="s">
        <v>575</v>
      </c>
      <c r="C6" s="614">
        <f>11*300</f>
        <v>3300</v>
      </c>
      <c r="D6" s="615">
        <v>7800</v>
      </c>
      <c r="E6" s="616">
        <v>0</v>
      </c>
      <c r="F6" s="617"/>
      <c r="G6" s="618">
        <f>SUM(C6:F6)</f>
        <v>11100</v>
      </c>
    </row>
    <row r="7" spans="1:9" ht="15.6" x14ac:dyDescent="0.3">
      <c r="B7" s="619"/>
      <c r="C7" s="620"/>
      <c r="D7" s="621"/>
      <c r="E7" s="622"/>
      <c r="F7" s="622"/>
      <c r="G7" s="623"/>
      <c r="H7" s="624"/>
    </row>
    <row r="8" spans="1:9" ht="15.6" x14ac:dyDescent="0.3">
      <c r="B8" s="1605" t="s">
        <v>576</v>
      </c>
      <c r="C8" s="1606"/>
      <c r="D8" s="1606"/>
      <c r="E8" s="1606"/>
      <c r="F8" s="1606"/>
      <c r="G8" s="1607"/>
    </row>
    <row r="9" spans="1:9" ht="16.2" thickBot="1" x14ac:dyDescent="0.35">
      <c r="B9" s="613" t="s">
        <v>575</v>
      </c>
      <c r="C9" s="614">
        <f>9*300</f>
        <v>2700</v>
      </c>
      <c r="D9" s="615">
        <v>2810</v>
      </c>
      <c r="E9" s="616">
        <v>300</v>
      </c>
      <c r="F9" s="617">
        <v>0</v>
      </c>
      <c r="G9" s="618">
        <f>SUM(C9:F9)</f>
        <v>5810</v>
      </c>
      <c r="H9" s="624"/>
    </row>
    <row r="10" spans="1:9" ht="16.2" thickBot="1" x14ac:dyDescent="0.35">
      <c r="B10" s="625" t="s">
        <v>577</v>
      </c>
      <c r="C10" s="626">
        <f>SUM(C5:C9)</f>
        <v>6000</v>
      </c>
      <c r="D10" s="626">
        <f>SUM(D5:D9)</f>
        <v>10610</v>
      </c>
      <c r="E10" s="626">
        <f>SUM(E5:E9)</f>
        <v>300</v>
      </c>
      <c r="F10" s="626">
        <f>SUM(F5:F9)</f>
        <v>0</v>
      </c>
      <c r="G10" s="627">
        <f>SUM(C10:F10)</f>
        <v>16910</v>
      </c>
      <c r="H10" s="624"/>
    </row>
    <row r="12" spans="1:9" ht="15" thickBot="1" x14ac:dyDescent="0.35"/>
    <row r="13" spans="1:9" ht="21" thickBot="1" x14ac:dyDescent="0.35">
      <c r="A13" s="1608" t="s">
        <v>949</v>
      </c>
      <c r="B13" s="1609"/>
      <c r="C13" s="1609"/>
      <c r="D13" s="1610"/>
      <c r="F13" s="1611" t="s">
        <v>950</v>
      </c>
      <c r="G13" s="1612"/>
    </row>
    <row r="14" spans="1:9" ht="16.2" thickBot="1" x14ac:dyDescent="0.35">
      <c r="A14" s="1613" t="s">
        <v>568</v>
      </c>
      <c r="B14" s="1614"/>
      <c r="C14" s="1614"/>
      <c r="D14" s="1615"/>
      <c r="F14" s="628" t="s">
        <v>281</v>
      </c>
      <c r="G14" s="628" t="s">
        <v>951</v>
      </c>
    </row>
    <row r="15" spans="1:9" ht="16.2" thickBot="1" x14ac:dyDescent="0.35">
      <c r="A15" s="629" t="s">
        <v>382</v>
      </c>
      <c r="B15" s="630" t="s">
        <v>578</v>
      </c>
      <c r="C15" s="631" t="s">
        <v>579</v>
      </c>
      <c r="D15" s="631" t="s">
        <v>580</v>
      </c>
      <c r="F15" s="632">
        <v>262</v>
      </c>
      <c r="G15" s="633" t="s">
        <v>952</v>
      </c>
    </row>
    <row r="16" spans="1:9" ht="15.6" x14ac:dyDescent="0.3">
      <c r="A16" s="634">
        <v>1</v>
      </c>
      <c r="B16" s="635" t="s">
        <v>581</v>
      </c>
      <c r="C16" s="636" t="s">
        <v>388</v>
      </c>
      <c r="D16" s="481">
        <v>1900</v>
      </c>
      <c r="F16" s="637">
        <v>500</v>
      </c>
      <c r="G16" s="628" t="s">
        <v>953</v>
      </c>
      <c r="I16" s="638"/>
    </row>
    <row r="17" spans="1:9" ht="46.8" x14ac:dyDescent="0.3">
      <c r="A17" s="634">
        <v>2</v>
      </c>
      <c r="B17" s="639" t="s">
        <v>582</v>
      </c>
      <c r="C17" s="640" t="s">
        <v>583</v>
      </c>
      <c r="D17" s="641">
        <v>500</v>
      </c>
      <c r="F17" s="642">
        <v>200</v>
      </c>
      <c r="G17" s="633" t="s">
        <v>954</v>
      </c>
    </row>
    <row r="18" spans="1:9" ht="28.8" x14ac:dyDescent="0.3">
      <c r="A18" s="634">
        <v>3</v>
      </c>
      <c r="B18" s="639" t="s">
        <v>584</v>
      </c>
      <c r="C18" s="640" t="s">
        <v>516</v>
      </c>
      <c r="D18" s="641">
        <v>3300</v>
      </c>
      <c r="F18" s="643">
        <v>8000</v>
      </c>
      <c r="G18" s="644" t="s">
        <v>955</v>
      </c>
    </row>
    <row r="19" spans="1:9" ht="15.6" x14ac:dyDescent="0.3">
      <c r="A19" s="634">
        <v>4</v>
      </c>
      <c r="B19" s="639" t="s">
        <v>585</v>
      </c>
      <c r="C19" s="640" t="s">
        <v>388</v>
      </c>
      <c r="D19" s="641">
        <v>600</v>
      </c>
      <c r="F19" s="645">
        <v>726</v>
      </c>
      <c r="G19" s="633" t="s">
        <v>956</v>
      </c>
    </row>
    <row r="20" spans="1:9" ht="31.2" x14ac:dyDescent="0.3">
      <c r="A20" s="634">
        <v>5</v>
      </c>
      <c r="B20" s="639" t="s">
        <v>586</v>
      </c>
      <c r="C20" s="640" t="s">
        <v>388</v>
      </c>
      <c r="D20" s="641">
        <v>800</v>
      </c>
      <c r="F20" s="628"/>
      <c r="G20" s="628"/>
    </row>
    <row r="21" spans="1:9" ht="31.2" x14ac:dyDescent="0.3">
      <c r="A21" s="634">
        <v>6</v>
      </c>
      <c r="B21" s="639" t="s">
        <v>587</v>
      </c>
      <c r="C21" s="640" t="s">
        <v>516</v>
      </c>
      <c r="D21" s="641">
        <v>4200</v>
      </c>
    </row>
    <row r="22" spans="1:9" ht="31.2" x14ac:dyDescent="0.3">
      <c r="A22" s="634">
        <v>7</v>
      </c>
      <c r="B22" s="639" t="s">
        <v>588</v>
      </c>
      <c r="C22" s="640" t="s">
        <v>516</v>
      </c>
      <c r="D22" s="641">
        <v>2100</v>
      </c>
    </row>
    <row r="23" spans="1:9" ht="31.2" x14ac:dyDescent="0.3">
      <c r="A23" s="634">
        <v>8</v>
      </c>
      <c r="B23" s="639" t="s">
        <v>589</v>
      </c>
      <c r="C23" s="640" t="s">
        <v>516</v>
      </c>
      <c r="D23" s="641">
        <v>3000</v>
      </c>
    </row>
    <row r="24" spans="1:9" ht="46.8" x14ac:dyDescent="0.3">
      <c r="A24" s="634">
        <v>9</v>
      </c>
      <c r="B24" s="639" t="s">
        <v>590</v>
      </c>
      <c r="C24" s="640" t="s">
        <v>516</v>
      </c>
      <c r="D24" s="641">
        <v>2100</v>
      </c>
      <c r="H24" s="624"/>
      <c r="I24" s="638"/>
    </row>
    <row r="25" spans="1:9" ht="46.8" x14ac:dyDescent="0.3">
      <c r="A25" s="634">
        <v>10</v>
      </c>
      <c r="B25" s="639" t="s">
        <v>591</v>
      </c>
      <c r="C25" s="640" t="s">
        <v>388</v>
      </c>
      <c r="D25" s="646"/>
    </row>
    <row r="26" spans="1:9" ht="31.2" x14ac:dyDescent="0.3">
      <c r="A26" s="634">
        <v>11</v>
      </c>
      <c r="B26" s="639" t="s">
        <v>592</v>
      </c>
      <c r="C26" s="640" t="s">
        <v>593</v>
      </c>
      <c r="D26" s="641">
        <v>3000</v>
      </c>
    </row>
    <row r="27" spans="1:9" ht="15.6" x14ac:dyDescent="0.3">
      <c r="A27" s="634">
        <v>12</v>
      </c>
      <c r="B27" s="647" t="s">
        <v>594</v>
      </c>
      <c r="C27" s="647" t="s">
        <v>595</v>
      </c>
      <c r="D27" s="482">
        <v>1000</v>
      </c>
    </row>
    <row r="28" spans="1:9" ht="15.6" x14ac:dyDescent="0.3">
      <c r="A28" s="634">
        <v>13</v>
      </c>
      <c r="B28" s="647" t="s">
        <v>957</v>
      </c>
      <c r="C28" s="647" t="s">
        <v>958</v>
      </c>
      <c r="D28" s="482">
        <v>1000</v>
      </c>
    </row>
    <row r="29" spans="1:9" ht="31.2" x14ac:dyDescent="0.3">
      <c r="A29" s="634">
        <v>14</v>
      </c>
      <c r="B29" s="639" t="s">
        <v>596</v>
      </c>
      <c r="C29" s="640" t="s">
        <v>388</v>
      </c>
      <c r="D29" s="641">
        <v>700</v>
      </c>
    </row>
    <row r="30" spans="1:9" ht="46.8" x14ac:dyDescent="0.3">
      <c r="A30" s="634">
        <v>15</v>
      </c>
      <c r="B30" s="639" t="s">
        <v>597</v>
      </c>
      <c r="C30" s="640" t="s">
        <v>388</v>
      </c>
      <c r="D30" s="641">
        <v>300</v>
      </c>
    </row>
    <row r="31" spans="1:9" ht="62.4" x14ac:dyDescent="0.3">
      <c r="A31" s="634">
        <v>16</v>
      </c>
      <c r="B31" s="639" t="s">
        <v>598</v>
      </c>
      <c r="C31" s="640" t="s">
        <v>599</v>
      </c>
      <c r="D31" s="641">
        <v>2500</v>
      </c>
    </row>
    <row r="32" spans="1:9" ht="31.2" x14ac:dyDescent="0.3">
      <c r="A32" s="634">
        <v>17</v>
      </c>
      <c r="B32" s="639" t="s">
        <v>600</v>
      </c>
      <c r="C32" s="640" t="s">
        <v>388</v>
      </c>
      <c r="D32" s="641">
        <v>3000</v>
      </c>
    </row>
    <row r="33" spans="1:4" ht="31.2" x14ac:dyDescent="0.3">
      <c r="A33" s="634">
        <v>18</v>
      </c>
      <c r="B33" s="639" t="s">
        <v>601</v>
      </c>
      <c r="C33" s="640" t="s">
        <v>516</v>
      </c>
      <c r="D33" s="641">
        <v>2500</v>
      </c>
    </row>
    <row r="34" spans="1:4" ht="31.2" x14ac:dyDescent="0.3">
      <c r="A34" s="634">
        <v>19</v>
      </c>
      <c r="B34" s="639" t="s">
        <v>602</v>
      </c>
      <c r="C34" s="640" t="s">
        <v>388</v>
      </c>
      <c r="D34" s="641">
        <v>3300</v>
      </c>
    </row>
    <row r="35" spans="1:4" ht="15.6" x14ac:dyDescent="0.3">
      <c r="A35" s="634">
        <v>20</v>
      </c>
      <c r="B35" s="639" t="s">
        <v>603</v>
      </c>
      <c r="C35" s="640" t="s">
        <v>516</v>
      </c>
      <c r="D35" s="641">
        <v>800</v>
      </c>
    </row>
    <row r="36" spans="1:4" ht="31.2" x14ac:dyDescent="0.3">
      <c r="A36" s="634">
        <v>21</v>
      </c>
      <c r="B36" s="639" t="s">
        <v>959</v>
      </c>
      <c r="C36" s="640" t="s">
        <v>958</v>
      </c>
      <c r="D36" s="641">
        <v>5000</v>
      </c>
    </row>
    <row r="37" spans="1:4" ht="31.2" x14ac:dyDescent="0.3">
      <c r="A37" s="634">
        <v>22</v>
      </c>
      <c r="B37" s="639" t="s">
        <v>960</v>
      </c>
      <c r="C37" s="640" t="s">
        <v>599</v>
      </c>
      <c r="D37" s="641">
        <v>2500</v>
      </c>
    </row>
    <row r="38" spans="1:4" ht="15.6" x14ac:dyDescent="0.3">
      <c r="A38" s="634">
        <v>23</v>
      </c>
      <c r="B38" s="639" t="s">
        <v>604</v>
      </c>
      <c r="C38" s="640" t="s">
        <v>388</v>
      </c>
      <c r="D38" s="641">
        <v>2500</v>
      </c>
    </row>
    <row r="39" spans="1:4" ht="15.6" x14ac:dyDescent="0.3">
      <c r="A39" s="634">
        <v>24</v>
      </c>
      <c r="B39" s="639" t="s">
        <v>605</v>
      </c>
      <c r="C39" s="639" t="s">
        <v>516</v>
      </c>
      <c r="D39" s="641">
        <v>600</v>
      </c>
    </row>
    <row r="40" spans="1:4" ht="15.6" x14ac:dyDescent="0.3">
      <c r="A40" s="634">
        <v>25</v>
      </c>
      <c r="B40" s="639" t="s">
        <v>606</v>
      </c>
      <c r="C40" s="639" t="s">
        <v>388</v>
      </c>
      <c r="D40" s="641">
        <v>1880</v>
      </c>
    </row>
    <row r="41" spans="1:4" ht="16.2" thickBot="1" x14ac:dyDescent="0.35">
      <c r="A41" s="648"/>
      <c r="B41" s="649" t="s">
        <v>607</v>
      </c>
      <c r="C41" s="649"/>
      <c r="D41" s="650">
        <f>SUM(D16:D40)</f>
        <v>49080</v>
      </c>
    </row>
    <row r="43" spans="1:4" ht="15" thickBot="1" x14ac:dyDescent="0.35"/>
    <row r="44" spans="1:4" ht="21" thickBot="1" x14ac:dyDescent="0.4">
      <c r="A44" s="1616" t="s">
        <v>611</v>
      </c>
      <c r="B44" s="1617"/>
      <c r="C44" s="1618"/>
    </row>
    <row r="45" spans="1:4" ht="16.2" thickBot="1" x14ac:dyDescent="0.35">
      <c r="A45" s="1602" t="s">
        <v>568</v>
      </c>
      <c r="B45" s="1603"/>
      <c r="C45" s="1604"/>
    </row>
    <row r="46" spans="1:4" ht="16.2" thickBot="1" x14ac:dyDescent="0.35">
      <c r="A46" s="651" t="s">
        <v>220</v>
      </c>
      <c r="B46" s="407" t="s">
        <v>612</v>
      </c>
      <c r="C46" s="652" t="s">
        <v>613</v>
      </c>
    </row>
    <row r="47" spans="1:4" ht="15.6" x14ac:dyDescent="0.3">
      <c r="A47" s="653">
        <v>1</v>
      </c>
      <c r="B47" s="654" t="s">
        <v>614</v>
      </c>
      <c r="C47" s="655">
        <v>100</v>
      </c>
    </row>
    <row r="48" spans="1:4" ht="15.6" x14ac:dyDescent="0.3">
      <c r="A48" s="656">
        <v>2</v>
      </c>
      <c r="B48" s="657" t="s">
        <v>615</v>
      </c>
      <c r="C48" s="658">
        <v>130</v>
      </c>
    </row>
    <row r="49" spans="1:7" ht="15.6" x14ac:dyDescent="0.3">
      <c r="A49" s="656">
        <v>3</v>
      </c>
      <c r="B49" s="657" t="s">
        <v>616</v>
      </c>
      <c r="C49" s="658">
        <v>200</v>
      </c>
    </row>
    <row r="50" spans="1:7" ht="16.2" thickBot="1" x14ac:dyDescent="0.35">
      <c r="A50" s="656">
        <v>4</v>
      </c>
      <c r="B50" s="657" t="s">
        <v>617</v>
      </c>
      <c r="C50" s="658">
        <v>50</v>
      </c>
    </row>
    <row r="51" spans="1:7" ht="16.2" thickBot="1" x14ac:dyDescent="0.35">
      <c r="A51" s="405"/>
      <c r="B51" s="406" t="s">
        <v>618</v>
      </c>
      <c r="C51" s="659">
        <f>SUM(C47:C50)</f>
        <v>480</v>
      </c>
    </row>
    <row r="52" spans="1:7" ht="15.6" x14ac:dyDescent="0.3">
      <c r="A52" s="660"/>
      <c r="B52" s="661"/>
      <c r="C52" s="662"/>
    </row>
    <row r="53" spans="1:7" ht="24" thickBot="1" x14ac:dyDescent="0.5">
      <c r="A53" s="1619" t="s">
        <v>961</v>
      </c>
      <c r="B53" s="1619"/>
      <c r="C53" s="1619"/>
      <c r="D53" s="1619"/>
      <c r="E53" s="1619"/>
      <c r="F53" s="1619"/>
      <c r="G53" s="1619"/>
    </row>
    <row r="54" spans="1:7" ht="37.950000000000003" customHeight="1" thickBot="1" x14ac:dyDescent="0.35">
      <c r="A54" s="663" t="s">
        <v>382</v>
      </c>
      <c r="B54" s="664" t="s">
        <v>152</v>
      </c>
      <c r="C54" s="664" t="s">
        <v>962</v>
      </c>
      <c r="D54" s="664" t="s">
        <v>963</v>
      </c>
      <c r="E54" s="664" t="s">
        <v>964</v>
      </c>
      <c r="F54" s="664" t="s">
        <v>965</v>
      </c>
      <c r="G54" s="664" t="s">
        <v>281</v>
      </c>
    </row>
    <row r="55" spans="1:7" ht="196.2" customHeight="1" thickBot="1" x14ac:dyDescent="0.35">
      <c r="A55" s="665">
        <v>1</v>
      </c>
      <c r="B55" s="666" t="s">
        <v>966</v>
      </c>
      <c r="C55" s="666">
        <v>1</v>
      </c>
      <c r="D55" s="667" t="s">
        <v>967</v>
      </c>
      <c r="E55" s="666">
        <v>6000</v>
      </c>
      <c r="F55" s="666"/>
      <c r="G55" s="668">
        <v>6000</v>
      </c>
    </row>
    <row r="56" spans="1:7" ht="83.4" thickBot="1" x14ac:dyDescent="0.35">
      <c r="A56" s="665">
        <v>2</v>
      </c>
      <c r="B56" s="666" t="s">
        <v>968</v>
      </c>
      <c r="C56" s="666">
        <v>1</v>
      </c>
      <c r="D56" s="666" t="s">
        <v>969</v>
      </c>
      <c r="E56" s="666">
        <v>15000</v>
      </c>
      <c r="F56" s="666"/>
      <c r="G56" s="669">
        <v>15000</v>
      </c>
    </row>
    <row r="57" spans="1:7" ht="28.2" thickBot="1" x14ac:dyDescent="0.35">
      <c r="A57" s="665">
        <v>3</v>
      </c>
      <c r="B57" s="666" t="s">
        <v>970</v>
      </c>
      <c r="C57" s="666">
        <v>1</v>
      </c>
      <c r="D57" s="666" t="s">
        <v>971</v>
      </c>
      <c r="E57" s="666">
        <v>7800</v>
      </c>
      <c r="F57" s="670"/>
      <c r="G57" s="669">
        <v>7800</v>
      </c>
    </row>
    <row r="58" spans="1:7" ht="69.599999999999994" thickBot="1" x14ac:dyDescent="0.35">
      <c r="A58" s="665">
        <v>4</v>
      </c>
      <c r="B58" s="666" t="s">
        <v>972</v>
      </c>
      <c r="C58" s="666">
        <v>25</v>
      </c>
      <c r="D58" s="666" t="s">
        <v>973</v>
      </c>
      <c r="E58" s="666">
        <v>50</v>
      </c>
      <c r="F58" s="670"/>
      <c r="G58" s="668">
        <v>1250</v>
      </c>
    </row>
    <row r="59" spans="1:7" ht="28.2" thickBot="1" x14ac:dyDescent="0.35">
      <c r="A59" s="665">
        <v>5</v>
      </c>
      <c r="B59" s="666" t="s">
        <v>570</v>
      </c>
      <c r="C59" s="666">
        <v>11</v>
      </c>
      <c r="D59" s="666" t="s">
        <v>974</v>
      </c>
      <c r="E59" s="666">
        <v>300</v>
      </c>
      <c r="F59" s="670"/>
      <c r="G59" s="668">
        <v>3300</v>
      </c>
    </row>
    <row r="63" spans="1:7" ht="18.600000000000001" thickBot="1" x14ac:dyDescent="0.4">
      <c r="A63" s="1620" t="s">
        <v>975</v>
      </c>
      <c r="B63" s="1620"/>
      <c r="C63" s="1620"/>
      <c r="D63" s="1620"/>
      <c r="E63" s="1620"/>
    </row>
    <row r="64" spans="1:7" ht="15.6" x14ac:dyDescent="0.3">
      <c r="A64" s="671"/>
      <c r="B64" s="672"/>
      <c r="C64" s="672"/>
      <c r="D64" s="673" t="s">
        <v>976</v>
      </c>
      <c r="E64" s="1597" t="s">
        <v>977</v>
      </c>
      <c r="F64" s="674"/>
    </row>
    <row r="65" spans="1:6" x14ac:dyDescent="0.3">
      <c r="A65" s="675" t="s">
        <v>978</v>
      </c>
      <c r="B65" s="676" t="s">
        <v>979</v>
      </c>
      <c r="C65" s="677" t="s">
        <v>980</v>
      </c>
      <c r="D65" s="678" t="s">
        <v>981</v>
      </c>
      <c r="E65" s="1598"/>
      <c r="F65" s="674"/>
    </row>
    <row r="66" spans="1:6" ht="15" x14ac:dyDescent="0.3">
      <c r="A66" s="679"/>
      <c r="B66" s="680"/>
      <c r="C66" s="680"/>
      <c r="D66" s="678" t="s">
        <v>982</v>
      </c>
      <c r="E66" s="681" t="s">
        <v>982</v>
      </c>
      <c r="F66" s="674"/>
    </row>
    <row r="67" spans="1:6" ht="15" thickBot="1" x14ac:dyDescent="0.35">
      <c r="A67" s="682"/>
      <c r="B67" s="683"/>
      <c r="C67" s="683"/>
      <c r="D67" s="683"/>
      <c r="E67" s="683"/>
      <c r="F67" s="674"/>
    </row>
    <row r="68" spans="1:6" ht="15" thickBot="1" x14ac:dyDescent="0.35">
      <c r="A68" s="684" t="s">
        <v>983</v>
      </c>
      <c r="B68" s="685" t="s">
        <v>984</v>
      </c>
      <c r="C68" s="685">
        <v>1</v>
      </c>
      <c r="D68" s="685">
        <v>500</v>
      </c>
      <c r="E68" s="685">
        <v>500</v>
      </c>
      <c r="F68" s="674"/>
    </row>
    <row r="69" spans="1:6" ht="24" x14ac:dyDescent="0.3">
      <c r="A69" s="686" t="s">
        <v>985</v>
      </c>
      <c r="B69" s="1591" t="s">
        <v>984</v>
      </c>
      <c r="C69" s="1591">
        <v>1</v>
      </c>
      <c r="D69" s="1591">
        <v>400</v>
      </c>
      <c r="E69" s="1591">
        <v>400</v>
      </c>
      <c r="F69" s="674"/>
    </row>
    <row r="70" spans="1:6" x14ac:dyDescent="0.3">
      <c r="A70" s="1595" t="s">
        <v>986</v>
      </c>
      <c r="B70" s="1592"/>
      <c r="C70" s="1592"/>
      <c r="D70" s="1592"/>
      <c r="E70" s="1592"/>
      <c r="F70" s="674"/>
    </row>
    <row r="71" spans="1:6" ht="15" thickBot="1" x14ac:dyDescent="0.35">
      <c r="A71" s="1596"/>
      <c r="B71" s="687"/>
      <c r="C71" s="687"/>
      <c r="D71" s="687"/>
      <c r="E71" s="687"/>
      <c r="F71" s="674"/>
    </row>
    <row r="72" spans="1:6" ht="15" thickBot="1" x14ac:dyDescent="0.35">
      <c r="A72" s="684" t="s">
        <v>987</v>
      </c>
      <c r="B72" s="685" t="s">
        <v>984</v>
      </c>
      <c r="C72" s="685">
        <v>1</v>
      </c>
      <c r="D72" s="685">
        <v>150</v>
      </c>
      <c r="E72" s="685">
        <v>150</v>
      </c>
      <c r="F72" s="674"/>
    </row>
    <row r="73" spans="1:6" ht="24" x14ac:dyDescent="0.3">
      <c r="A73" s="686" t="s">
        <v>988</v>
      </c>
      <c r="B73" s="1591" t="s">
        <v>984</v>
      </c>
      <c r="C73" s="1591">
        <v>18</v>
      </c>
      <c r="D73" s="1591">
        <v>390</v>
      </c>
      <c r="E73" s="1591">
        <v>7020</v>
      </c>
      <c r="F73" s="674"/>
    </row>
    <row r="74" spans="1:6" x14ac:dyDescent="0.3">
      <c r="A74" s="1595" t="s">
        <v>989</v>
      </c>
      <c r="B74" s="1592"/>
      <c r="C74" s="1592"/>
      <c r="D74" s="1592"/>
      <c r="E74" s="1592"/>
      <c r="F74" s="674"/>
    </row>
    <row r="75" spans="1:6" x14ac:dyDescent="0.3">
      <c r="A75" s="1595"/>
      <c r="B75" s="688"/>
      <c r="C75" s="688"/>
      <c r="D75" s="688"/>
      <c r="E75" s="688"/>
      <c r="F75" s="674"/>
    </row>
    <row r="76" spans="1:6" ht="15" thickBot="1" x14ac:dyDescent="0.35">
      <c r="A76" s="689"/>
      <c r="B76" s="690"/>
      <c r="C76" s="690"/>
      <c r="D76" s="690"/>
      <c r="E76" s="690"/>
      <c r="F76" s="674"/>
    </row>
    <row r="77" spans="1:6" ht="15" thickBot="1" x14ac:dyDescent="0.35">
      <c r="A77" s="684" t="s">
        <v>990</v>
      </c>
      <c r="B77" s="685" t="s">
        <v>984</v>
      </c>
      <c r="C77" s="685">
        <v>18</v>
      </c>
      <c r="D77" s="685">
        <v>100</v>
      </c>
      <c r="E77" s="685">
        <v>1800</v>
      </c>
      <c r="F77" s="674"/>
    </row>
    <row r="78" spans="1:6" ht="24" x14ac:dyDescent="0.3">
      <c r="A78" s="686" t="s">
        <v>991</v>
      </c>
      <c r="B78" s="1591" t="s">
        <v>984</v>
      </c>
      <c r="C78" s="1591">
        <v>18</v>
      </c>
      <c r="D78" s="1591">
        <v>95</v>
      </c>
      <c r="E78" s="1591">
        <v>1710</v>
      </c>
      <c r="F78" s="674"/>
    </row>
    <row r="79" spans="1:6" x14ac:dyDescent="0.3">
      <c r="A79" s="1595" t="s">
        <v>992</v>
      </c>
      <c r="B79" s="1592"/>
      <c r="C79" s="1592"/>
      <c r="D79" s="1592"/>
      <c r="E79" s="1592"/>
      <c r="F79" s="674"/>
    </row>
    <row r="80" spans="1:6" x14ac:dyDescent="0.3">
      <c r="A80" s="1595"/>
      <c r="B80" s="688"/>
      <c r="C80" s="688"/>
      <c r="D80" s="688"/>
      <c r="E80" s="688"/>
      <c r="F80" s="674"/>
    </row>
    <row r="81" spans="1:6" ht="15" thickBot="1" x14ac:dyDescent="0.35">
      <c r="A81" s="689"/>
      <c r="B81" s="690"/>
      <c r="C81" s="690"/>
      <c r="D81" s="690"/>
      <c r="E81" s="690"/>
      <c r="F81" s="674"/>
    </row>
    <row r="82" spans="1:6" ht="24" x14ac:dyDescent="0.3">
      <c r="A82" s="686" t="s">
        <v>993</v>
      </c>
      <c r="B82" s="1591" t="s">
        <v>984</v>
      </c>
      <c r="C82" s="1591">
        <v>18</v>
      </c>
      <c r="D82" s="1591">
        <v>600</v>
      </c>
      <c r="E82" s="1591">
        <v>10800</v>
      </c>
      <c r="F82" s="674"/>
    </row>
    <row r="83" spans="1:6" x14ac:dyDescent="0.3">
      <c r="A83" s="1595" t="s">
        <v>994</v>
      </c>
      <c r="B83" s="1592"/>
      <c r="C83" s="1592"/>
      <c r="D83" s="1592"/>
      <c r="E83" s="1592"/>
      <c r="F83" s="674"/>
    </row>
    <row r="84" spans="1:6" ht="15" thickBot="1" x14ac:dyDescent="0.35">
      <c r="A84" s="1596"/>
      <c r="B84" s="687"/>
      <c r="C84" s="687"/>
      <c r="D84" s="687"/>
      <c r="E84" s="687"/>
      <c r="F84" s="674"/>
    </row>
    <row r="85" spans="1:6" ht="24" x14ac:dyDescent="0.3">
      <c r="A85" s="686" t="s">
        <v>995</v>
      </c>
      <c r="B85" s="1591" t="s">
        <v>984</v>
      </c>
      <c r="C85" s="1591">
        <v>30</v>
      </c>
      <c r="D85" s="1591">
        <v>7</v>
      </c>
      <c r="E85" s="1591">
        <v>210</v>
      </c>
      <c r="F85" s="674"/>
    </row>
    <row r="86" spans="1:6" x14ac:dyDescent="0.3">
      <c r="A86" s="1595" t="s">
        <v>996</v>
      </c>
      <c r="B86" s="1592"/>
      <c r="C86" s="1592"/>
      <c r="D86" s="1592"/>
      <c r="E86" s="1592"/>
      <c r="F86" s="674"/>
    </row>
    <row r="87" spans="1:6" ht="15" thickBot="1" x14ac:dyDescent="0.35">
      <c r="A87" s="1596"/>
      <c r="B87" s="687"/>
      <c r="C87" s="687"/>
      <c r="D87" s="687"/>
      <c r="E87" s="687"/>
      <c r="F87" s="674"/>
    </row>
    <row r="88" spans="1:6" ht="24" x14ac:dyDescent="0.3">
      <c r="A88" s="686" t="s">
        <v>997</v>
      </c>
      <c r="B88" s="1591" t="s">
        <v>984</v>
      </c>
      <c r="C88" s="1591">
        <v>200</v>
      </c>
      <c r="D88" s="1591">
        <v>5</v>
      </c>
      <c r="E88" s="1591">
        <v>1000</v>
      </c>
      <c r="F88" s="674"/>
    </row>
    <row r="89" spans="1:6" x14ac:dyDescent="0.3">
      <c r="A89" s="1595" t="s">
        <v>998</v>
      </c>
      <c r="B89" s="1592"/>
      <c r="C89" s="1592"/>
      <c r="D89" s="1592"/>
      <c r="E89" s="1592"/>
      <c r="F89" s="674"/>
    </row>
    <row r="90" spans="1:6" ht="15" thickBot="1" x14ac:dyDescent="0.35">
      <c r="A90" s="1596"/>
      <c r="B90" s="687"/>
      <c r="C90" s="687"/>
      <c r="D90" s="687"/>
      <c r="E90" s="687"/>
      <c r="F90" s="674"/>
    </row>
    <row r="91" spans="1:6" ht="15" thickBot="1" x14ac:dyDescent="0.35">
      <c r="A91" s="684" t="s">
        <v>999</v>
      </c>
      <c r="B91" s="685" t="s">
        <v>984</v>
      </c>
      <c r="C91" s="685">
        <v>10</v>
      </c>
      <c r="D91" s="685">
        <v>10</v>
      </c>
      <c r="E91" s="685">
        <v>100</v>
      </c>
      <c r="F91" s="674"/>
    </row>
    <row r="92" spans="1:6" ht="24" x14ac:dyDescent="0.3">
      <c r="A92" s="686" t="s">
        <v>1000</v>
      </c>
      <c r="B92" s="1591" t="s">
        <v>984</v>
      </c>
      <c r="C92" s="1591">
        <v>1</v>
      </c>
      <c r="D92" s="1591">
        <v>1000</v>
      </c>
      <c r="E92" s="1591">
        <v>1000</v>
      </c>
      <c r="F92" s="674"/>
    </row>
    <row r="93" spans="1:6" x14ac:dyDescent="0.3">
      <c r="A93" s="1595" t="s">
        <v>1001</v>
      </c>
      <c r="B93" s="1592"/>
      <c r="C93" s="1592"/>
      <c r="D93" s="1592"/>
      <c r="E93" s="1592"/>
      <c r="F93" s="674"/>
    </row>
    <row r="94" spans="1:6" ht="15" thickBot="1" x14ac:dyDescent="0.35">
      <c r="A94" s="1596"/>
      <c r="B94" s="687"/>
      <c r="C94" s="687"/>
      <c r="D94" s="687"/>
      <c r="E94" s="687"/>
      <c r="F94" s="674"/>
    </row>
    <row r="95" spans="1:6" x14ac:dyDescent="0.3">
      <c r="A95" s="691"/>
      <c r="B95" s="692"/>
      <c r="C95" s="1589" t="s">
        <v>1002</v>
      </c>
      <c r="D95" s="1590"/>
      <c r="E95" s="693">
        <v>24690</v>
      </c>
      <c r="F95" s="674"/>
    </row>
    <row r="96" spans="1:6" ht="15" thickBot="1" x14ac:dyDescent="0.35">
      <c r="A96" s="694"/>
      <c r="B96" s="695"/>
      <c r="C96" s="695"/>
      <c r="D96" s="696"/>
      <c r="E96" s="696"/>
      <c r="F96" s="674"/>
    </row>
    <row r="97" spans="1:10" x14ac:dyDescent="0.3">
      <c r="A97" s="697"/>
      <c r="B97" s="698"/>
      <c r="C97" s="698"/>
      <c r="D97" s="699" t="s">
        <v>1003</v>
      </c>
      <c r="E97" s="693">
        <v>5184.8999999999996</v>
      </c>
      <c r="F97" s="674"/>
    </row>
    <row r="98" spans="1:10" ht="15" thickBot="1" x14ac:dyDescent="0.35">
      <c r="A98" s="694"/>
      <c r="B98" s="695"/>
      <c r="C98" s="1593"/>
      <c r="D98" s="1594"/>
      <c r="E98" s="696"/>
      <c r="F98" s="674"/>
    </row>
    <row r="99" spans="1:10" x14ac:dyDescent="0.3">
      <c r="A99" s="697"/>
      <c r="B99" s="698"/>
      <c r="C99" s="1589" t="s">
        <v>1004</v>
      </c>
      <c r="D99" s="1590"/>
      <c r="E99" s="693">
        <v>29874.9</v>
      </c>
      <c r="F99" s="674"/>
    </row>
    <row r="100" spans="1:10" ht="15" thickBot="1" x14ac:dyDescent="0.35">
      <c r="A100" s="694"/>
      <c r="B100" s="695"/>
      <c r="C100" s="1593"/>
      <c r="D100" s="1594"/>
      <c r="E100" s="696"/>
      <c r="F100" s="674"/>
    </row>
    <row r="101" spans="1:10" x14ac:dyDescent="0.3">
      <c r="A101" s="697"/>
      <c r="B101" s="698"/>
      <c r="C101" s="1589" t="s">
        <v>1005</v>
      </c>
      <c r="D101" s="1590"/>
      <c r="E101" s="693">
        <v>0</v>
      </c>
      <c r="F101" s="674"/>
    </row>
    <row r="102" spans="1:10" ht="15" thickBot="1" x14ac:dyDescent="0.35">
      <c r="A102" s="694"/>
      <c r="B102" s="695"/>
      <c r="C102" s="1593"/>
      <c r="D102" s="1594"/>
      <c r="E102" s="696"/>
      <c r="F102" s="674"/>
    </row>
    <row r="103" spans="1:10" x14ac:dyDescent="0.3">
      <c r="A103" s="697"/>
      <c r="B103" s="698"/>
      <c r="C103" s="1589" t="s">
        <v>1006</v>
      </c>
      <c r="D103" s="1590"/>
      <c r="E103" s="700">
        <v>29874.9</v>
      </c>
      <c r="F103" s="674"/>
    </row>
    <row r="104" spans="1:10" ht="15" thickBot="1" x14ac:dyDescent="0.35">
      <c r="A104" s="694"/>
      <c r="B104" s="695"/>
      <c r="C104" s="695"/>
      <c r="D104" s="696"/>
      <c r="E104" s="696"/>
      <c r="F104" s="674"/>
    </row>
    <row r="106" spans="1:10" ht="21.6" thickBot="1" x14ac:dyDescent="0.45">
      <c r="A106" s="1584" t="s">
        <v>1007</v>
      </c>
      <c r="B106" s="1584"/>
      <c r="C106" s="1584"/>
      <c r="D106" s="1584"/>
      <c r="E106" s="1584"/>
      <c r="F106" s="1584"/>
      <c r="G106" s="1584"/>
      <c r="H106" s="1584"/>
      <c r="I106" s="1584"/>
      <c r="J106" s="1584"/>
    </row>
    <row r="107" spans="1:10" ht="18" x14ac:dyDescent="0.3">
      <c r="A107" s="701"/>
      <c r="B107" s="1585" t="s">
        <v>1008</v>
      </c>
      <c r="C107" s="1586"/>
      <c r="D107" s="702" t="s">
        <v>1009</v>
      </c>
      <c r="E107" s="702" t="s">
        <v>1010</v>
      </c>
      <c r="F107" s="703" t="s">
        <v>1011</v>
      </c>
      <c r="G107" s="704" t="s">
        <v>1012</v>
      </c>
      <c r="H107" s="705" t="s">
        <v>1013</v>
      </c>
      <c r="I107" s="706" t="s">
        <v>1014</v>
      </c>
      <c r="J107" s="1569" t="s">
        <v>1015</v>
      </c>
    </row>
    <row r="108" spans="1:10" x14ac:dyDescent="0.3">
      <c r="A108" s="707"/>
      <c r="B108" s="1587"/>
      <c r="C108" s="1588"/>
      <c r="D108" s="708"/>
      <c r="E108" s="708"/>
      <c r="F108" s="708"/>
      <c r="G108" s="708"/>
      <c r="H108" s="708"/>
      <c r="I108" s="708"/>
      <c r="J108" s="1570"/>
    </row>
    <row r="109" spans="1:10" x14ac:dyDescent="0.3">
      <c r="A109" s="709"/>
      <c r="B109" s="1587"/>
      <c r="C109" s="1588"/>
      <c r="D109" s="710"/>
      <c r="E109" s="710"/>
      <c r="F109" s="710"/>
      <c r="G109" s="710"/>
      <c r="H109" s="710"/>
      <c r="I109" s="710"/>
      <c r="J109" s="1570" t="s">
        <v>1016</v>
      </c>
    </row>
    <row r="110" spans="1:10" x14ac:dyDescent="0.3">
      <c r="A110" s="711"/>
      <c r="B110" s="712"/>
      <c r="C110" s="713"/>
      <c r="D110" s="688"/>
      <c r="E110" s="688"/>
      <c r="F110" s="688"/>
      <c r="G110" s="688"/>
      <c r="H110" s="688"/>
      <c r="I110" s="688"/>
      <c r="J110" s="1570"/>
    </row>
    <row r="111" spans="1:10" ht="16.2" thickBot="1" x14ac:dyDescent="0.35">
      <c r="A111" s="714"/>
      <c r="B111" s="715"/>
      <c r="C111" s="716"/>
      <c r="D111" s="717"/>
      <c r="E111" s="717"/>
      <c r="F111" s="717"/>
      <c r="G111" s="717"/>
      <c r="H111" s="717"/>
      <c r="I111" s="717"/>
      <c r="J111" s="717"/>
    </row>
    <row r="112" spans="1:10" x14ac:dyDescent="0.3">
      <c r="A112" s="718"/>
      <c r="B112" s="719" t="s">
        <v>1017</v>
      </c>
      <c r="C112" s="720" t="s">
        <v>1018</v>
      </c>
      <c r="D112" s="721"/>
      <c r="E112" s="721"/>
      <c r="F112" s="721"/>
      <c r="G112" s="721"/>
      <c r="H112" s="721"/>
      <c r="I112" s="721"/>
      <c r="J112" s="721"/>
    </row>
    <row r="113" spans="1:10" ht="15" thickBot="1" x14ac:dyDescent="0.35">
      <c r="A113" s="722"/>
      <c r="B113" s="723"/>
      <c r="C113" s="723"/>
      <c r="D113" s="723"/>
      <c r="E113" s="723"/>
      <c r="F113" s="723"/>
      <c r="G113" s="723"/>
      <c r="H113" s="723"/>
      <c r="I113" s="723"/>
      <c r="J113" s="723"/>
    </row>
    <row r="114" spans="1:10" ht="15.6" x14ac:dyDescent="0.3">
      <c r="A114" s="724"/>
      <c r="B114" s="725" t="s">
        <v>1019</v>
      </c>
      <c r="C114" s="726"/>
      <c r="D114" s="725" t="s">
        <v>1020</v>
      </c>
      <c r="E114" s="725">
        <v>1</v>
      </c>
      <c r="F114" s="727">
        <v>630</v>
      </c>
      <c r="G114" s="725">
        <v>280</v>
      </c>
      <c r="H114" s="725">
        <v>630</v>
      </c>
      <c r="I114" s="725">
        <v>280</v>
      </c>
      <c r="J114" s="725">
        <v>910</v>
      </c>
    </row>
    <row r="115" spans="1:10" ht="16.2" thickBot="1" x14ac:dyDescent="0.35">
      <c r="A115" s="714"/>
      <c r="B115" s="717"/>
      <c r="C115" s="717"/>
      <c r="D115" s="717"/>
      <c r="E115" s="717"/>
      <c r="F115" s="717"/>
      <c r="G115" s="717"/>
      <c r="H115" s="717"/>
      <c r="I115" s="717"/>
      <c r="J115" s="717"/>
    </row>
    <row r="116" spans="1:10" ht="15.6" x14ac:dyDescent="0.3">
      <c r="A116" s="724"/>
      <c r="B116" s="725" t="s">
        <v>1021</v>
      </c>
      <c r="C116" s="726"/>
      <c r="D116" s="725" t="s">
        <v>1020</v>
      </c>
      <c r="E116" s="725">
        <v>1</v>
      </c>
      <c r="F116" s="727">
        <v>885</v>
      </c>
      <c r="G116" s="725">
        <v>280</v>
      </c>
      <c r="H116" s="725">
        <v>885</v>
      </c>
      <c r="I116" s="725">
        <v>280</v>
      </c>
      <c r="J116" s="725" t="s">
        <v>1022</v>
      </c>
    </row>
    <row r="117" spans="1:10" ht="16.2" thickBot="1" x14ac:dyDescent="0.35">
      <c r="A117" s="714"/>
      <c r="B117" s="717"/>
      <c r="C117" s="717"/>
      <c r="D117" s="717"/>
      <c r="E117" s="717"/>
      <c r="F117" s="717"/>
      <c r="G117" s="717"/>
      <c r="H117" s="717"/>
      <c r="I117" s="717"/>
      <c r="J117" s="717"/>
    </row>
    <row r="118" spans="1:10" ht="15.6" x14ac:dyDescent="0.3">
      <c r="A118" s="724"/>
      <c r="B118" s="725" t="s">
        <v>1023</v>
      </c>
      <c r="C118" s="726"/>
      <c r="D118" s="725" t="s">
        <v>1020</v>
      </c>
      <c r="E118" s="725">
        <v>1</v>
      </c>
      <c r="F118" s="727">
        <v>790</v>
      </c>
      <c r="G118" s="725">
        <v>180</v>
      </c>
      <c r="H118" s="725">
        <v>790</v>
      </c>
      <c r="I118" s="725">
        <v>180</v>
      </c>
      <c r="J118" s="725">
        <v>970</v>
      </c>
    </row>
    <row r="119" spans="1:10" ht="16.2" thickBot="1" x14ac:dyDescent="0.35">
      <c r="A119" s="714"/>
      <c r="B119" s="717"/>
      <c r="C119" s="717"/>
      <c r="D119" s="717"/>
      <c r="E119" s="717"/>
      <c r="F119" s="717"/>
      <c r="G119" s="717"/>
      <c r="H119" s="717"/>
      <c r="I119" s="717"/>
      <c r="J119" s="717"/>
    </row>
    <row r="120" spans="1:10" ht="15.6" x14ac:dyDescent="0.3">
      <c r="A120" s="724"/>
      <c r="B120" s="725" t="s">
        <v>1024</v>
      </c>
      <c r="C120" s="726"/>
      <c r="D120" s="1569" t="s">
        <v>1020</v>
      </c>
      <c r="E120" s="1569">
        <v>1</v>
      </c>
      <c r="F120" s="1572">
        <v>730</v>
      </c>
      <c r="G120" s="1569">
        <v>280</v>
      </c>
      <c r="H120" s="1569">
        <v>730</v>
      </c>
      <c r="I120" s="1569">
        <v>280</v>
      </c>
      <c r="J120" s="1569" t="s">
        <v>1025</v>
      </c>
    </row>
    <row r="121" spans="1:10" x14ac:dyDescent="0.3">
      <c r="A121" s="728"/>
      <c r="B121" s="1571" t="s">
        <v>1026</v>
      </c>
      <c r="C121" s="729"/>
      <c r="D121" s="1570"/>
      <c r="E121" s="1570"/>
      <c r="F121" s="1573"/>
      <c r="G121" s="1570"/>
      <c r="H121" s="1570"/>
      <c r="I121" s="1570"/>
      <c r="J121" s="1570"/>
    </row>
    <row r="122" spans="1:10" x14ac:dyDescent="0.3">
      <c r="A122" s="709"/>
      <c r="B122" s="1571"/>
      <c r="C122" s="710"/>
      <c r="D122" s="710"/>
      <c r="E122" s="710"/>
      <c r="F122" s="710"/>
      <c r="G122" s="710"/>
      <c r="H122" s="710"/>
      <c r="I122" s="710"/>
      <c r="J122" s="710"/>
    </row>
    <row r="123" spans="1:10" ht="16.2" thickBot="1" x14ac:dyDescent="0.35">
      <c r="A123" s="714"/>
      <c r="B123" s="717"/>
      <c r="C123" s="717"/>
      <c r="D123" s="717"/>
      <c r="E123" s="717"/>
      <c r="F123" s="717"/>
      <c r="G123" s="717"/>
      <c r="H123" s="717"/>
      <c r="I123" s="717"/>
      <c r="J123" s="717"/>
    </row>
    <row r="124" spans="1:10" ht="15.6" x14ac:dyDescent="0.3">
      <c r="A124" s="724"/>
      <c r="B124" s="725" t="s">
        <v>1027</v>
      </c>
      <c r="C124" s="726"/>
      <c r="D124" s="725" t="s">
        <v>1020</v>
      </c>
      <c r="E124" s="725">
        <v>1</v>
      </c>
      <c r="F124" s="727">
        <v>600</v>
      </c>
      <c r="G124" s="725">
        <v>210</v>
      </c>
      <c r="H124" s="725">
        <v>600</v>
      </c>
      <c r="I124" s="725">
        <v>210</v>
      </c>
      <c r="J124" s="725">
        <v>810</v>
      </c>
    </row>
    <row r="125" spans="1:10" ht="16.2" thickBot="1" x14ac:dyDescent="0.35">
      <c r="A125" s="714"/>
      <c r="B125" s="717"/>
      <c r="C125" s="717"/>
      <c r="D125" s="717"/>
      <c r="E125" s="717"/>
      <c r="F125" s="717"/>
      <c r="G125" s="717"/>
      <c r="H125" s="717"/>
      <c r="I125" s="717"/>
      <c r="J125" s="717"/>
    </row>
    <row r="126" spans="1:10" ht="15.6" x14ac:dyDescent="0.3">
      <c r="A126" s="724"/>
      <c r="B126" s="725" t="s">
        <v>1028</v>
      </c>
      <c r="C126" s="726"/>
      <c r="D126" s="1569" t="s">
        <v>1020</v>
      </c>
      <c r="E126" s="1569">
        <v>1</v>
      </c>
      <c r="F126" s="1572">
        <v>430</v>
      </c>
      <c r="G126" s="1569">
        <v>180</v>
      </c>
      <c r="H126" s="1569">
        <v>430</v>
      </c>
      <c r="I126" s="1569">
        <v>180</v>
      </c>
      <c r="J126" s="1569">
        <v>610</v>
      </c>
    </row>
    <row r="127" spans="1:10" x14ac:dyDescent="0.3">
      <c r="A127" s="728"/>
      <c r="B127" s="1571" t="s">
        <v>1029</v>
      </c>
      <c r="C127" s="729"/>
      <c r="D127" s="1570"/>
      <c r="E127" s="1570"/>
      <c r="F127" s="1573"/>
      <c r="G127" s="1570"/>
      <c r="H127" s="1570"/>
      <c r="I127" s="1570"/>
      <c r="J127" s="1570"/>
    </row>
    <row r="128" spans="1:10" x14ac:dyDescent="0.3">
      <c r="A128" s="709"/>
      <c r="B128" s="1571"/>
      <c r="C128" s="710"/>
      <c r="D128" s="710"/>
      <c r="E128" s="710"/>
      <c r="F128" s="710"/>
      <c r="G128" s="710"/>
      <c r="H128" s="710"/>
      <c r="I128" s="710"/>
      <c r="J128" s="710"/>
    </row>
    <row r="129" spans="1:10" ht="15" thickBot="1" x14ac:dyDescent="0.35">
      <c r="A129" s="730"/>
      <c r="B129" s="731"/>
      <c r="C129" s="731"/>
      <c r="D129" s="731"/>
      <c r="E129" s="731"/>
      <c r="F129" s="731"/>
      <c r="G129" s="731"/>
      <c r="H129" s="731"/>
      <c r="I129" s="731"/>
      <c r="J129" s="731"/>
    </row>
    <row r="130" spans="1:10" x14ac:dyDescent="0.3">
      <c r="A130" s="732"/>
      <c r="B130" s="732"/>
      <c r="C130" s="732"/>
      <c r="D130" s="733"/>
      <c r="E130" s="732"/>
      <c r="F130" s="732"/>
      <c r="G130" s="733"/>
      <c r="H130" s="719" t="s">
        <v>1030</v>
      </c>
      <c r="I130" s="719" t="s">
        <v>1031</v>
      </c>
      <c r="J130" s="719" t="s">
        <v>1032</v>
      </c>
    </row>
    <row r="131" spans="1:10" ht="15" thickBot="1" x14ac:dyDescent="0.35">
      <c r="A131" s="734"/>
      <c r="B131" s="735"/>
      <c r="C131" s="735"/>
      <c r="D131" s="708"/>
      <c r="E131" s="695"/>
      <c r="F131" s="695"/>
      <c r="G131" s="696"/>
      <c r="H131" s="696"/>
      <c r="I131" s="696"/>
      <c r="J131" s="696"/>
    </row>
    <row r="132" spans="1:10" x14ac:dyDescent="0.3">
      <c r="A132" s="732"/>
      <c r="B132" s="1574" t="s">
        <v>1033</v>
      </c>
      <c r="C132" s="1575"/>
      <c r="D132" s="733"/>
      <c r="E132" s="732"/>
      <c r="F132" s="732"/>
      <c r="G132" s="732"/>
      <c r="H132" s="1578" t="s">
        <v>1034</v>
      </c>
      <c r="I132" s="1579"/>
      <c r="J132" s="725">
        <v>350</v>
      </c>
    </row>
    <row r="133" spans="1:10" ht="15" thickBot="1" x14ac:dyDescent="0.35">
      <c r="A133" s="736"/>
      <c r="B133" s="1576"/>
      <c r="C133" s="1577"/>
      <c r="D133" s="737"/>
      <c r="E133" s="738"/>
      <c r="F133" s="738"/>
      <c r="G133" s="738"/>
      <c r="H133" s="738"/>
      <c r="I133" s="739"/>
      <c r="J133" s="739"/>
    </row>
    <row r="134" spans="1:10" x14ac:dyDescent="0.3">
      <c r="A134" s="740"/>
      <c r="B134" s="1576"/>
      <c r="C134" s="1577"/>
      <c r="D134" s="741"/>
      <c r="E134" s="740"/>
      <c r="F134" s="740"/>
      <c r="G134" s="740"/>
      <c r="H134" s="740"/>
      <c r="I134" s="741"/>
      <c r="J134" s="741"/>
    </row>
    <row r="135" spans="1:10" x14ac:dyDescent="0.3">
      <c r="A135" s="742"/>
      <c r="B135" s="1576" t="s">
        <v>1035</v>
      </c>
      <c r="C135" s="1577"/>
      <c r="D135" s="721"/>
      <c r="E135" s="742"/>
      <c r="F135" s="742"/>
      <c r="G135" s="742"/>
      <c r="H135" s="1580" t="s">
        <v>1036</v>
      </c>
      <c r="I135" s="1581"/>
      <c r="J135" s="719">
        <v>5825</v>
      </c>
    </row>
    <row r="136" spans="1:10" ht="15" thickBot="1" x14ac:dyDescent="0.35">
      <c r="A136" s="743"/>
      <c r="B136" s="744"/>
      <c r="C136" s="744"/>
      <c r="D136" s="745"/>
      <c r="E136" s="746"/>
      <c r="F136" s="746"/>
      <c r="G136" s="746"/>
      <c r="H136" s="746"/>
      <c r="I136" s="747"/>
      <c r="J136" s="747"/>
    </row>
    <row r="137" spans="1:10" x14ac:dyDescent="0.3">
      <c r="A137" s="732"/>
      <c r="B137" s="732"/>
      <c r="C137" s="732"/>
      <c r="D137" s="733"/>
      <c r="E137" s="732"/>
      <c r="F137" s="732"/>
      <c r="G137" s="732"/>
      <c r="H137" s="732"/>
      <c r="I137" s="748" t="s">
        <v>1037</v>
      </c>
      <c r="J137" s="725">
        <v>1223.25</v>
      </c>
    </row>
    <row r="138" spans="1:10" ht="15" thickBot="1" x14ac:dyDescent="0.35">
      <c r="A138" s="749"/>
      <c r="B138" s="749"/>
      <c r="C138" s="749"/>
      <c r="D138" s="750"/>
      <c r="E138" s="751"/>
      <c r="F138" s="751"/>
      <c r="G138" s="751"/>
      <c r="H138" s="1582"/>
      <c r="I138" s="1583"/>
      <c r="J138" s="690"/>
    </row>
    <row r="139" spans="1:10" x14ac:dyDescent="0.3">
      <c r="A139" s="752"/>
      <c r="B139" s="752"/>
      <c r="C139" s="752"/>
      <c r="D139" s="753"/>
      <c r="E139" s="752"/>
      <c r="F139" s="752"/>
      <c r="G139" s="752"/>
      <c r="H139" s="1567" t="s">
        <v>1038</v>
      </c>
      <c r="I139" s="1568"/>
      <c r="J139" s="719">
        <v>7048.25</v>
      </c>
    </row>
    <row r="140" spans="1:10" ht="15" thickBot="1" x14ac:dyDescent="0.35">
      <c r="A140" s="751"/>
      <c r="B140" s="751"/>
      <c r="C140" s="751"/>
      <c r="D140" s="690"/>
      <c r="E140" s="751"/>
      <c r="F140" s="751"/>
      <c r="G140" s="751"/>
      <c r="H140" s="751"/>
      <c r="I140" s="690"/>
      <c r="J140" s="690"/>
    </row>
    <row r="143" spans="1:10" x14ac:dyDescent="0.3">
      <c r="B143" s="1006"/>
      <c r="C143" s="1007" t="s">
        <v>962</v>
      </c>
      <c r="D143" s="1006"/>
      <c r="E143" s="1007" t="s">
        <v>1284</v>
      </c>
      <c r="F143" s="1007" t="s">
        <v>123</v>
      </c>
      <c r="G143" s="1008" t="s">
        <v>1285</v>
      </c>
    </row>
    <row r="144" spans="1:10" ht="16.2" thickBot="1" x14ac:dyDescent="0.35">
      <c r="B144" s="1009"/>
      <c r="C144" s="1009"/>
      <c r="D144" s="1009"/>
      <c r="E144" s="1009"/>
      <c r="F144" s="1009"/>
      <c r="G144" s="1010"/>
    </row>
    <row r="145" spans="2:7" ht="42" thickBot="1" x14ac:dyDescent="0.35">
      <c r="B145" s="1011" t="s">
        <v>1286</v>
      </c>
      <c r="C145" s="1012">
        <v>1</v>
      </c>
      <c r="D145" s="1013"/>
      <c r="E145" s="1012" t="s">
        <v>1287</v>
      </c>
      <c r="F145" s="1012" t="s">
        <v>1287</v>
      </c>
      <c r="G145" s="1014">
        <f>5560*1.21</f>
        <v>6727.5999999999995</v>
      </c>
    </row>
    <row r="146" spans="2:7" ht="16.2" thickBot="1" x14ac:dyDescent="0.35">
      <c r="B146" s="1013"/>
      <c r="C146" s="1013"/>
      <c r="D146" s="1013"/>
      <c r="E146" s="1013"/>
      <c r="F146" s="1013"/>
      <c r="G146" s="1014"/>
    </row>
    <row r="147" spans="2:7" ht="28.2" thickBot="1" x14ac:dyDescent="0.35">
      <c r="B147" s="1011" t="s">
        <v>1288</v>
      </c>
      <c r="C147" s="1012">
        <v>1</v>
      </c>
      <c r="D147" s="1013"/>
      <c r="E147" s="1012" t="s">
        <v>1287</v>
      </c>
      <c r="F147" s="1012" t="s">
        <v>1287</v>
      </c>
      <c r="G147" s="1014">
        <f t="shared" ref="G147:G161" si="0">5560*1.21</f>
        <v>6727.5999999999995</v>
      </c>
    </row>
    <row r="148" spans="2:7" ht="16.2" thickBot="1" x14ac:dyDescent="0.35">
      <c r="B148" s="1013"/>
      <c r="C148" s="1013"/>
      <c r="D148" s="1013"/>
      <c r="E148" s="1013"/>
      <c r="F148" s="1013"/>
      <c r="G148" s="1014"/>
    </row>
    <row r="149" spans="2:7" ht="28.2" thickBot="1" x14ac:dyDescent="0.35">
      <c r="B149" s="1011" t="s">
        <v>1289</v>
      </c>
      <c r="C149" s="1012">
        <v>1</v>
      </c>
      <c r="D149" s="1013"/>
      <c r="E149" s="1012" t="s">
        <v>1287</v>
      </c>
      <c r="F149" s="1012" t="s">
        <v>1287</v>
      </c>
      <c r="G149" s="1014">
        <f t="shared" si="0"/>
        <v>6727.5999999999995</v>
      </c>
    </row>
    <row r="150" spans="2:7" ht="16.2" thickBot="1" x14ac:dyDescent="0.35">
      <c r="B150" s="1013"/>
      <c r="C150" s="1013"/>
      <c r="D150" s="1013"/>
      <c r="E150" s="1013"/>
      <c r="F150" s="1013"/>
      <c r="G150" s="1014"/>
    </row>
    <row r="151" spans="2:7" ht="28.2" thickBot="1" x14ac:dyDescent="0.35">
      <c r="B151" s="1011" t="s">
        <v>1290</v>
      </c>
      <c r="C151" s="1012">
        <v>1</v>
      </c>
      <c r="D151" s="1013"/>
      <c r="E151" s="1012" t="s">
        <v>1287</v>
      </c>
      <c r="F151" s="1012" t="s">
        <v>1287</v>
      </c>
      <c r="G151" s="1014">
        <f t="shared" si="0"/>
        <v>6727.5999999999995</v>
      </c>
    </row>
    <row r="152" spans="2:7" ht="16.2" thickBot="1" x14ac:dyDescent="0.35">
      <c r="B152" s="1013"/>
      <c r="C152" s="1013"/>
      <c r="D152" s="1013"/>
      <c r="E152" s="1013"/>
      <c r="F152" s="1013"/>
      <c r="G152" s="1014"/>
    </row>
    <row r="153" spans="2:7" ht="42" thickBot="1" x14ac:dyDescent="0.35">
      <c r="B153" s="1011" t="s">
        <v>1291</v>
      </c>
      <c r="C153" s="1012">
        <v>1</v>
      </c>
      <c r="D153" s="1013"/>
      <c r="E153" s="1012" t="s">
        <v>1287</v>
      </c>
      <c r="F153" s="1012" t="s">
        <v>1287</v>
      </c>
      <c r="G153" s="1014">
        <f t="shared" si="0"/>
        <v>6727.5999999999995</v>
      </c>
    </row>
    <row r="154" spans="2:7" ht="16.2" thickBot="1" x14ac:dyDescent="0.35">
      <c r="B154" s="1013"/>
      <c r="C154" s="1013"/>
      <c r="D154" s="1013"/>
      <c r="E154" s="1013"/>
      <c r="F154" s="1013"/>
      <c r="G154" s="1014"/>
    </row>
    <row r="155" spans="2:7" ht="42" thickBot="1" x14ac:dyDescent="0.35">
      <c r="B155" s="1011" t="s">
        <v>1292</v>
      </c>
      <c r="C155" s="1012">
        <v>1</v>
      </c>
      <c r="D155" s="1013"/>
      <c r="E155" s="1012" t="s">
        <v>1287</v>
      </c>
      <c r="F155" s="1012" t="s">
        <v>1287</v>
      </c>
      <c r="G155" s="1014">
        <f t="shared" si="0"/>
        <v>6727.5999999999995</v>
      </c>
    </row>
    <row r="156" spans="2:7" ht="16.2" thickBot="1" x14ac:dyDescent="0.35">
      <c r="B156" s="1013"/>
      <c r="C156" s="1013"/>
      <c r="D156" s="1013"/>
      <c r="E156" s="1013"/>
      <c r="F156" s="1013"/>
      <c r="G156" s="1014"/>
    </row>
    <row r="157" spans="2:7" ht="28.2" thickBot="1" x14ac:dyDescent="0.35">
      <c r="B157" s="1011" t="s">
        <v>1293</v>
      </c>
      <c r="C157" s="1012">
        <v>1</v>
      </c>
      <c r="D157" s="1013"/>
      <c r="E157" s="1012" t="s">
        <v>1287</v>
      </c>
      <c r="F157" s="1012" t="s">
        <v>1287</v>
      </c>
      <c r="G157" s="1014">
        <f t="shared" si="0"/>
        <v>6727.5999999999995</v>
      </c>
    </row>
    <row r="158" spans="2:7" ht="16.2" thickBot="1" x14ac:dyDescent="0.35">
      <c r="B158" s="1013"/>
      <c r="C158" s="1013"/>
      <c r="D158" s="1013"/>
      <c r="E158" s="1013"/>
      <c r="F158" s="1013"/>
      <c r="G158" s="1014"/>
    </row>
    <row r="159" spans="2:7" ht="28.2" thickBot="1" x14ac:dyDescent="0.35">
      <c r="B159" s="1011" t="s">
        <v>1294</v>
      </c>
      <c r="C159" s="1012">
        <v>1</v>
      </c>
      <c r="D159" s="1013"/>
      <c r="E159" s="1012" t="s">
        <v>1287</v>
      </c>
      <c r="F159" s="1012" t="s">
        <v>1287</v>
      </c>
      <c r="G159" s="1014">
        <f t="shared" si="0"/>
        <v>6727.5999999999995</v>
      </c>
    </row>
    <row r="160" spans="2:7" ht="16.2" thickBot="1" x14ac:dyDescent="0.35">
      <c r="B160" s="1013"/>
      <c r="C160" s="1013"/>
      <c r="D160" s="1013"/>
      <c r="E160" s="1013"/>
      <c r="F160" s="1013"/>
      <c r="G160" s="1014"/>
    </row>
    <row r="161" spans="2:7" ht="28.2" thickBot="1" x14ac:dyDescent="0.35">
      <c r="B161" s="1011" t="s">
        <v>1295</v>
      </c>
      <c r="C161" s="1012">
        <v>1</v>
      </c>
      <c r="D161" s="1013"/>
      <c r="E161" s="1012" t="s">
        <v>1287</v>
      </c>
      <c r="F161" s="1012" t="s">
        <v>1287</v>
      </c>
      <c r="G161" s="1014">
        <f t="shared" si="0"/>
        <v>6727.5999999999995</v>
      </c>
    </row>
    <row r="162" spans="2:7" ht="16.2" thickBot="1" x14ac:dyDescent="0.35">
      <c r="B162" s="1013"/>
      <c r="C162" s="1013"/>
      <c r="D162" s="1013"/>
      <c r="E162" s="1013"/>
      <c r="F162" s="1013"/>
      <c r="G162" s="1014"/>
    </row>
    <row r="163" spans="2:7" ht="28.2" thickBot="1" x14ac:dyDescent="0.35">
      <c r="B163" s="1011" t="s">
        <v>1296</v>
      </c>
      <c r="C163" s="1012">
        <v>1</v>
      </c>
      <c r="D163" s="1013"/>
      <c r="E163" s="1012" t="s">
        <v>1297</v>
      </c>
      <c r="F163" s="1012" t="s">
        <v>1297</v>
      </c>
      <c r="G163" s="1014">
        <f>4995*1.21</f>
        <v>6043.95</v>
      </c>
    </row>
    <row r="164" spans="2:7" ht="16.2" thickBot="1" x14ac:dyDescent="0.35">
      <c r="B164" s="1013"/>
      <c r="C164" s="1013"/>
      <c r="D164" s="1013"/>
      <c r="E164" s="1013"/>
      <c r="F164" s="1013"/>
      <c r="G164" s="1014"/>
    </row>
    <row r="165" spans="2:7" ht="28.2" thickBot="1" x14ac:dyDescent="0.35">
      <c r="B165" s="1011" t="s">
        <v>1298</v>
      </c>
      <c r="C165" s="1012">
        <v>8</v>
      </c>
      <c r="D165" s="1013"/>
      <c r="E165" s="1012" t="s">
        <v>1299</v>
      </c>
      <c r="F165" s="1012" t="s">
        <v>1300</v>
      </c>
      <c r="G165" s="1014">
        <f>5600*1.21</f>
        <v>6776</v>
      </c>
    </row>
    <row r="166" spans="2:7" ht="16.2" thickBot="1" x14ac:dyDescent="0.35">
      <c r="B166" s="1013"/>
      <c r="C166" s="1013"/>
      <c r="D166" s="1013"/>
      <c r="E166" s="1013"/>
      <c r="F166" s="1013"/>
      <c r="G166" s="1014"/>
    </row>
    <row r="167" spans="2:7" ht="28.2" thickBot="1" x14ac:dyDescent="0.35">
      <c r="B167" s="1011" t="s">
        <v>1301</v>
      </c>
      <c r="C167" s="1012">
        <v>2</v>
      </c>
      <c r="D167" s="1013"/>
      <c r="E167" s="1012" t="s">
        <v>1302</v>
      </c>
      <c r="F167" s="1012" t="s">
        <v>1303</v>
      </c>
      <c r="G167" s="1014">
        <f>1600*1.21</f>
        <v>1936</v>
      </c>
    </row>
    <row r="168" spans="2:7" ht="16.2" thickBot="1" x14ac:dyDescent="0.35">
      <c r="B168" s="1013"/>
      <c r="C168" s="1013"/>
      <c r="D168" s="1013"/>
      <c r="E168" s="1013"/>
      <c r="F168" s="1013"/>
      <c r="G168" s="1014"/>
    </row>
    <row r="169" spans="2:7" ht="28.2" thickBot="1" x14ac:dyDescent="0.35">
      <c r="B169" s="1011" t="s">
        <v>1304</v>
      </c>
      <c r="C169" s="1012">
        <v>1</v>
      </c>
      <c r="D169" s="1013"/>
      <c r="E169" s="1012" t="s">
        <v>1305</v>
      </c>
      <c r="F169" s="1012" t="s">
        <v>1305</v>
      </c>
      <c r="G169" s="1014">
        <f>1150*1.21</f>
        <v>1391.5</v>
      </c>
    </row>
    <row r="170" spans="2:7" ht="16.2" thickBot="1" x14ac:dyDescent="0.35">
      <c r="B170" s="1013"/>
      <c r="C170" s="1013"/>
      <c r="D170" s="1013"/>
      <c r="E170" s="1013"/>
      <c r="F170" s="1013"/>
      <c r="G170" s="1014"/>
    </row>
    <row r="171" spans="2:7" ht="16.2" thickBot="1" x14ac:dyDescent="0.35">
      <c r="B171" s="1013"/>
      <c r="C171" s="1013"/>
      <c r="D171" s="1566" t="s">
        <v>1306</v>
      </c>
      <c r="E171" s="1566"/>
      <c r="F171" s="1012" t="s">
        <v>1307</v>
      </c>
      <c r="G171" s="1014">
        <f>SUM(G145:G170)</f>
        <v>76695.849999999991</v>
      </c>
    </row>
    <row r="172" spans="2:7" ht="15" x14ac:dyDescent="0.3">
      <c r="B172" s="1015"/>
      <c r="C172" s="1016"/>
      <c r="D172" s="1016"/>
      <c r="E172" s="1017"/>
      <c r="F172" s="1018" t="s">
        <v>181</v>
      </c>
      <c r="G172"/>
    </row>
  </sheetData>
  <mergeCells count="81">
    <mergeCell ref="E64:E65"/>
    <mergeCell ref="B2:G2"/>
    <mergeCell ref="B3:G3"/>
    <mergeCell ref="B5:G5"/>
    <mergeCell ref="B8:G8"/>
    <mergeCell ref="A13:D13"/>
    <mergeCell ref="F13:G13"/>
    <mergeCell ref="A14:D14"/>
    <mergeCell ref="A44:C44"/>
    <mergeCell ref="A45:C45"/>
    <mergeCell ref="A53:G53"/>
    <mergeCell ref="A63:E63"/>
    <mergeCell ref="B73:B74"/>
    <mergeCell ref="C73:C74"/>
    <mergeCell ref="D73:D74"/>
    <mergeCell ref="E73:E74"/>
    <mergeCell ref="A74:A75"/>
    <mergeCell ref="B69:B70"/>
    <mergeCell ref="C69:C70"/>
    <mergeCell ref="D69:D70"/>
    <mergeCell ref="E69:E70"/>
    <mergeCell ref="A70:A71"/>
    <mergeCell ref="B82:B83"/>
    <mergeCell ref="C82:C83"/>
    <mergeCell ref="D82:D83"/>
    <mergeCell ref="E82:E83"/>
    <mergeCell ref="A83:A84"/>
    <mergeCell ref="B78:B79"/>
    <mergeCell ref="C78:C79"/>
    <mergeCell ref="D78:D79"/>
    <mergeCell ref="E78:E79"/>
    <mergeCell ref="A79:A80"/>
    <mergeCell ref="E85:E86"/>
    <mergeCell ref="A86:A87"/>
    <mergeCell ref="B88:B89"/>
    <mergeCell ref="C88:C89"/>
    <mergeCell ref="D88:D89"/>
    <mergeCell ref="E88:E89"/>
    <mergeCell ref="A89:A90"/>
    <mergeCell ref="A93:A94"/>
    <mergeCell ref="C95:D95"/>
    <mergeCell ref="B85:B86"/>
    <mergeCell ref="C85:C86"/>
    <mergeCell ref="D85:D86"/>
    <mergeCell ref="C103:D103"/>
    <mergeCell ref="B92:B93"/>
    <mergeCell ref="C92:C93"/>
    <mergeCell ref="D92:D93"/>
    <mergeCell ref="E92:E93"/>
    <mergeCell ref="C98:D98"/>
    <mergeCell ref="C99:D99"/>
    <mergeCell ref="C100:D100"/>
    <mergeCell ref="C101:D101"/>
    <mergeCell ref="C102:D102"/>
    <mergeCell ref="H138:I138"/>
    <mergeCell ref="A106:J106"/>
    <mergeCell ref="B107:C109"/>
    <mergeCell ref="J107:J108"/>
    <mergeCell ref="J109:J110"/>
    <mergeCell ref="D120:D121"/>
    <mergeCell ref="E120:E121"/>
    <mergeCell ref="F120:F121"/>
    <mergeCell ref="G120:G121"/>
    <mergeCell ref="H120:H121"/>
    <mergeCell ref="I120:I121"/>
    <mergeCell ref="D171:E171"/>
    <mergeCell ref="H139:I139"/>
    <mergeCell ref="J120:J121"/>
    <mergeCell ref="B121:B122"/>
    <mergeCell ref="D126:D127"/>
    <mergeCell ref="E126:E127"/>
    <mergeCell ref="F126:F127"/>
    <mergeCell ref="G126:G127"/>
    <mergeCell ref="H126:H127"/>
    <mergeCell ref="I126:I127"/>
    <mergeCell ref="J126:J127"/>
    <mergeCell ref="B127:B128"/>
    <mergeCell ref="B132:C134"/>
    <mergeCell ref="H132:I132"/>
    <mergeCell ref="B135:C135"/>
    <mergeCell ref="H135:I13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20A2-F237-4137-B8A5-A0A4103BA872}">
  <sheetPr>
    <tabColor theme="7" tint="0.59999389629810485"/>
  </sheetPr>
  <dimension ref="A5:H39"/>
  <sheetViews>
    <sheetView workbookViewId="0">
      <selection activeCell="J23" sqref="J23"/>
    </sheetView>
  </sheetViews>
  <sheetFormatPr defaultRowHeight="11.4" x14ac:dyDescent="0.2"/>
  <cols>
    <col min="1" max="1" width="34.25" customWidth="1"/>
    <col min="3" max="3" width="17.25" customWidth="1"/>
    <col min="4" max="4" width="19.75" customWidth="1"/>
    <col min="5" max="5" width="20.625" customWidth="1"/>
    <col min="6" max="6" width="11.625" customWidth="1"/>
    <col min="8" max="8" width="75.75" customWidth="1"/>
  </cols>
  <sheetData>
    <row r="5" spans="1:8" ht="13.8" x14ac:dyDescent="0.2">
      <c r="A5" s="1006"/>
      <c r="B5" s="1007" t="s">
        <v>962</v>
      </c>
      <c r="C5" s="1006"/>
      <c r="D5" s="1007" t="s">
        <v>1284</v>
      </c>
      <c r="E5" s="1007" t="s">
        <v>123</v>
      </c>
      <c r="F5" s="1008" t="s">
        <v>1285</v>
      </c>
    </row>
    <row r="6" spans="1:8" ht="16.2" thickBot="1" x14ac:dyDescent="0.3">
      <c r="A6" s="1009"/>
      <c r="B6" s="1009"/>
      <c r="C6" s="1009"/>
      <c r="D6" s="1009"/>
      <c r="E6" s="1009"/>
      <c r="F6" s="1010"/>
    </row>
    <row r="7" spans="1:8" ht="28.2" thickBot="1" x14ac:dyDescent="0.3">
      <c r="A7" s="1153" t="s">
        <v>1286</v>
      </c>
      <c r="B7" s="1154">
        <v>1</v>
      </c>
      <c r="C7" s="1155"/>
      <c r="D7" s="1154" t="s">
        <v>1287</v>
      </c>
      <c r="E7" s="1154" t="s">
        <v>1287</v>
      </c>
      <c r="F7" s="1156">
        <f>5560*1.21</f>
        <v>6727.5999999999995</v>
      </c>
      <c r="H7" t="s">
        <v>1493</v>
      </c>
    </row>
    <row r="8" spans="1:8" ht="16.2" thickBot="1" x14ac:dyDescent="0.3">
      <c r="A8" s="1013"/>
      <c r="B8" s="1013"/>
      <c r="C8" s="1013"/>
      <c r="D8" s="1013"/>
      <c r="E8" s="1013"/>
      <c r="F8" s="1014"/>
    </row>
    <row r="9" spans="1:8" ht="16.2" thickBot="1" x14ac:dyDescent="0.3">
      <c r="A9" s="1153" t="s">
        <v>1288</v>
      </c>
      <c r="B9" s="1154">
        <v>1</v>
      </c>
      <c r="C9" s="1155"/>
      <c r="D9" s="1154" t="s">
        <v>1287</v>
      </c>
      <c r="E9" s="1154" t="s">
        <v>1287</v>
      </c>
      <c r="F9" s="1156">
        <f t="shared" ref="F9:F27" si="0">5560*1.21</f>
        <v>6727.5999999999995</v>
      </c>
      <c r="H9" t="s">
        <v>1494</v>
      </c>
    </row>
    <row r="10" spans="1:8" ht="16.2" thickBot="1" x14ac:dyDescent="0.3">
      <c r="A10" s="1013"/>
      <c r="B10" s="1013"/>
      <c r="C10" s="1013"/>
      <c r="D10" s="1013"/>
      <c r="E10" s="1013"/>
      <c r="F10" s="1014"/>
    </row>
    <row r="11" spans="1:8" ht="28.2" thickBot="1" x14ac:dyDescent="0.3">
      <c r="A11" s="1153" t="s">
        <v>1289</v>
      </c>
      <c r="B11" s="1154">
        <v>1</v>
      </c>
      <c r="C11" s="1155"/>
      <c r="D11" s="1154" t="s">
        <v>1287</v>
      </c>
      <c r="E11" s="1154" t="s">
        <v>1287</v>
      </c>
      <c r="F11" s="1156">
        <f t="shared" si="0"/>
        <v>6727.5999999999995</v>
      </c>
      <c r="H11" t="s">
        <v>1495</v>
      </c>
    </row>
    <row r="12" spans="1:8" ht="16.2" thickBot="1" x14ac:dyDescent="0.3">
      <c r="A12" s="1157"/>
      <c r="B12" s="1158"/>
      <c r="C12" s="1159"/>
      <c r="D12" s="1158"/>
      <c r="E12" s="1158"/>
      <c r="F12" s="1160"/>
    </row>
    <row r="13" spans="1:8" ht="31.8" thickBot="1" x14ac:dyDescent="0.3">
      <c r="A13" s="1153" t="s">
        <v>1298</v>
      </c>
      <c r="B13" s="1154">
        <v>3</v>
      </c>
      <c r="C13" s="1155"/>
      <c r="D13" s="1154" t="s">
        <v>1299</v>
      </c>
      <c r="E13" s="1154" t="s">
        <v>1496</v>
      </c>
      <c r="F13" s="1156">
        <f>2100*1.21</f>
        <v>2541</v>
      </c>
      <c r="H13" s="1161" t="s">
        <v>1497</v>
      </c>
    </row>
    <row r="14" spans="1:8" ht="47.4" thickBot="1" x14ac:dyDescent="0.3">
      <c r="A14" s="1157"/>
      <c r="B14" s="1158"/>
      <c r="C14" s="1159"/>
      <c r="D14" s="1158"/>
      <c r="E14" s="1154" t="s">
        <v>1498</v>
      </c>
      <c r="F14" s="1156">
        <f>F7+F9+F11+F13</f>
        <v>22723.8</v>
      </c>
      <c r="H14" s="1161" t="s">
        <v>1499</v>
      </c>
    </row>
    <row r="15" spans="1:8" ht="47.4" thickBot="1" x14ac:dyDescent="0.3">
      <c r="A15" s="1013"/>
      <c r="B15" s="1013"/>
      <c r="C15" s="1013"/>
      <c r="D15" s="1013"/>
      <c r="E15" s="1013"/>
      <c r="F15" s="1014"/>
      <c r="H15" s="1161" t="s">
        <v>1500</v>
      </c>
    </row>
    <row r="16" spans="1:8" ht="16.2" thickBot="1" x14ac:dyDescent="0.25">
      <c r="A16" s="1621" t="s">
        <v>1501</v>
      </c>
      <c r="B16" s="1622"/>
      <c r="C16" s="1622"/>
      <c r="D16" s="1622"/>
      <c r="E16" s="1622"/>
      <c r="F16" s="1623"/>
      <c r="H16" s="1161"/>
    </row>
    <row r="17" spans="1:7" ht="28.2" thickBot="1" x14ac:dyDescent="0.3">
      <c r="A17" s="1011" t="s">
        <v>1290</v>
      </c>
      <c r="B17" s="1012">
        <v>1</v>
      </c>
      <c r="C17" s="1013"/>
      <c r="D17" s="1012" t="s">
        <v>1287</v>
      </c>
      <c r="E17" s="1012" t="s">
        <v>1287</v>
      </c>
      <c r="F17" s="1014">
        <f t="shared" si="0"/>
        <v>6727.5999999999995</v>
      </c>
    </row>
    <row r="18" spans="1:7" ht="16.2" thickBot="1" x14ac:dyDescent="0.3">
      <c r="A18" s="1013"/>
      <c r="B18" s="1013"/>
      <c r="C18" s="1013"/>
      <c r="D18" s="1013"/>
      <c r="E18" s="1013"/>
      <c r="F18" s="1014"/>
    </row>
    <row r="19" spans="1:7" ht="42" thickBot="1" x14ac:dyDescent="0.3">
      <c r="A19" s="1011" t="s">
        <v>1291</v>
      </c>
      <c r="B19" s="1012">
        <v>1</v>
      </c>
      <c r="C19" s="1013"/>
      <c r="D19" s="1012" t="s">
        <v>1287</v>
      </c>
      <c r="E19" s="1012" t="s">
        <v>1287</v>
      </c>
      <c r="F19" s="1014">
        <f t="shared" si="0"/>
        <v>6727.5999999999995</v>
      </c>
    </row>
    <row r="20" spans="1:7" ht="16.2" thickBot="1" x14ac:dyDescent="0.3">
      <c r="A20" s="1013"/>
      <c r="B20" s="1013"/>
      <c r="C20" s="1013"/>
      <c r="D20" s="1013"/>
      <c r="E20" s="1013"/>
      <c r="F20" s="1014"/>
    </row>
    <row r="21" spans="1:7" ht="28.2" thickBot="1" x14ac:dyDescent="0.3">
      <c r="A21" s="1011" t="s">
        <v>1292</v>
      </c>
      <c r="B21" s="1012">
        <v>1</v>
      </c>
      <c r="C21" s="1013"/>
      <c r="D21" s="1012" t="s">
        <v>1287</v>
      </c>
      <c r="E21" s="1012" t="s">
        <v>1287</v>
      </c>
      <c r="F21" s="1014">
        <f t="shared" si="0"/>
        <v>6727.5999999999995</v>
      </c>
    </row>
    <row r="22" spans="1:7" ht="16.2" thickBot="1" x14ac:dyDescent="0.3">
      <c r="A22" s="1013"/>
      <c r="B22" s="1013"/>
      <c r="C22" s="1013"/>
      <c r="D22" s="1013"/>
      <c r="E22" s="1013"/>
      <c r="F22" s="1014"/>
    </row>
    <row r="23" spans="1:7" ht="28.2" thickBot="1" x14ac:dyDescent="0.3">
      <c r="A23" s="1011" t="s">
        <v>1293</v>
      </c>
      <c r="B23" s="1012">
        <v>1</v>
      </c>
      <c r="C23" s="1013"/>
      <c r="D23" s="1012" t="s">
        <v>1287</v>
      </c>
      <c r="E23" s="1012" t="s">
        <v>1287</v>
      </c>
      <c r="F23" s="1014">
        <f t="shared" si="0"/>
        <v>6727.5999999999995</v>
      </c>
    </row>
    <row r="24" spans="1:7" ht="16.2" thickBot="1" x14ac:dyDescent="0.3">
      <c r="A24" s="1013"/>
      <c r="B24" s="1013"/>
      <c r="C24" s="1013"/>
      <c r="D24" s="1013"/>
      <c r="E24" s="1013"/>
      <c r="F24" s="1014"/>
    </row>
    <row r="25" spans="1:7" ht="16.2" thickBot="1" x14ac:dyDescent="0.3">
      <c r="A25" s="1011" t="s">
        <v>1294</v>
      </c>
      <c r="B25" s="1012">
        <v>1</v>
      </c>
      <c r="C25" s="1013"/>
      <c r="D25" s="1012" t="s">
        <v>1287</v>
      </c>
      <c r="E25" s="1012" t="s">
        <v>1287</v>
      </c>
      <c r="F25" s="1014">
        <f t="shared" si="0"/>
        <v>6727.5999999999995</v>
      </c>
    </row>
    <row r="26" spans="1:7" ht="16.2" thickBot="1" x14ac:dyDescent="0.3">
      <c r="A26" s="1013"/>
      <c r="B26" s="1013"/>
      <c r="C26" s="1013"/>
      <c r="D26" s="1013"/>
      <c r="E26" s="1013"/>
      <c r="F26" s="1014"/>
    </row>
    <row r="27" spans="1:7" ht="16.2" thickBot="1" x14ac:dyDescent="0.3">
      <c r="A27" s="1011" t="s">
        <v>1295</v>
      </c>
      <c r="B27" s="1012">
        <v>1</v>
      </c>
      <c r="C27" s="1013"/>
      <c r="D27" s="1012" t="s">
        <v>1287</v>
      </c>
      <c r="E27" s="1012" t="s">
        <v>1287</v>
      </c>
      <c r="F27" s="1014">
        <f t="shared" si="0"/>
        <v>6727.5999999999995</v>
      </c>
    </row>
    <row r="28" spans="1:7" ht="16.2" thickBot="1" x14ac:dyDescent="0.3">
      <c r="A28" s="1013"/>
      <c r="B28" s="1013"/>
      <c r="C28" s="1013"/>
      <c r="D28" s="1013"/>
      <c r="E28" s="1013"/>
      <c r="F28" s="1014"/>
    </row>
    <row r="29" spans="1:7" ht="28.2" thickBot="1" x14ac:dyDescent="0.3">
      <c r="A29" s="1011" t="s">
        <v>1296</v>
      </c>
      <c r="B29" s="1012">
        <v>1</v>
      </c>
      <c r="C29" s="1013"/>
      <c r="D29" s="1012" t="s">
        <v>1297</v>
      </c>
      <c r="E29" s="1012" t="s">
        <v>1297</v>
      </c>
      <c r="F29" s="1014">
        <f>4995*1.21</f>
        <v>6043.95</v>
      </c>
    </row>
    <row r="30" spans="1:7" ht="16.2" thickBot="1" x14ac:dyDescent="0.3">
      <c r="A30" s="1013"/>
      <c r="B30" s="1013"/>
      <c r="C30" s="1013"/>
      <c r="D30" s="1013"/>
      <c r="E30" s="1013"/>
      <c r="F30" s="1014"/>
    </row>
    <row r="31" spans="1:7" ht="28.2" thickBot="1" x14ac:dyDescent="0.3">
      <c r="A31" s="1011" t="s">
        <v>1298</v>
      </c>
      <c r="B31" s="1012">
        <v>8</v>
      </c>
      <c r="C31" s="1013"/>
      <c r="D31" s="1012" t="s">
        <v>1299</v>
      </c>
      <c r="E31" s="1012" t="s">
        <v>1300</v>
      </c>
      <c r="F31" s="1014">
        <f>5600*1.21</f>
        <v>6776</v>
      </c>
      <c r="G31">
        <f>F31/B31</f>
        <v>847</v>
      </c>
    </row>
    <row r="32" spans="1:7" ht="16.2" thickBot="1" x14ac:dyDescent="0.3">
      <c r="A32" s="1013"/>
      <c r="B32" s="1013"/>
      <c r="C32" s="1013"/>
      <c r="D32" s="1013"/>
      <c r="E32" s="1013"/>
      <c r="F32" s="1014"/>
    </row>
    <row r="33" spans="1:6" ht="28.2" thickBot="1" x14ac:dyDescent="0.3">
      <c r="A33" s="1011" t="s">
        <v>1301</v>
      </c>
      <c r="B33" s="1012">
        <v>2</v>
      </c>
      <c r="C33" s="1013"/>
      <c r="D33" s="1012" t="s">
        <v>1302</v>
      </c>
      <c r="E33" s="1012" t="s">
        <v>1303</v>
      </c>
      <c r="F33" s="1014">
        <f>1600*1.21</f>
        <v>1936</v>
      </c>
    </row>
    <row r="34" spans="1:6" ht="16.2" thickBot="1" x14ac:dyDescent="0.3">
      <c r="A34" s="1013"/>
      <c r="B34" s="1013"/>
      <c r="C34" s="1013"/>
      <c r="D34" s="1013"/>
      <c r="E34" s="1013"/>
      <c r="F34" s="1014"/>
    </row>
    <row r="35" spans="1:6" ht="28.2" thickBot="1" x14ac:dyDescent="0.3">
      <c r="A35" s="1011" t="s">
        <v>1304</v>
      </c>
      <c r="B35" s="1012">
        <v>1</v>
      </c>
      <c r="C35" s="1013"/>
      <c r="D35" s="1012" t="s">
        <v>1305</v>
      </c>
      <c r="E35" s="1012" t="s">
        <v>1305</v>
      </c>
      <c r="F35" s="1014">
        <f>1150*1.21</f>
        <v>1391.5</v>
      </c>
    </row>
    <row r="36" spans="1:6" ht="16.2" thickBot="1" x14ac:dyDescent="0.3">
      <c r="A36" s="1013"/>
      <c r="B36" s="1013"/>
      <c r="C36" s="1013"/>
      <c r="D36" s="1013"/>
      <c r="E36" s="1013"/>
      <c r="F36" s="1014"/>
    </row>
    <row r="37" spans="1:6" ht="16.2" thickBot="1" x14ac:dyDescent="0.3">
      <c r="A37" s="1013"/>
      <c r="B37" s="1013"/>
      <c r="C37" s="1566" t="s">
        <v>1306</v>
      </c>
      <c r="D37" s="1566"/>
      <c r="E37" s="1012" t="s">
        <v>1307</v>
      </c>
      <c r="F37" s="1014">
        <f>SUM(F7:F36)-F13-F14-F14</f>
        <v>53972.05</v>
      </c>
    </row>
    <row r="38" spans="1:6" ht="15" x14ac:dyDescent="0.2">
      <c r="A38" s="1015"/>
      <c r="B38" s="1016"/>
      <c r="C38" s="1016"/>
      <c r="D38" s="1017"/>
      <c r="E38" s="1018" t="s">
        <v>181</v>
      </c>
    </row>
    <row r="39" spans="1:6" ht="16.2" thickBot="1" x14ac:dyDescent="0.25">
      <c r="A39" s="1162"/>
      <c r="B39" s="1163"/>
      <c r="C39" s="1163"/>
      <c r="D39" s="1164"/>
      <c r="E39" s="1164"/>
    </row>
  </sheetData>
  <mergeCells count="2">
    <mergeCell ref="A16:F16"/>
    <mergeCell ref="C37:D37"/>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F139-BDF8-4F41-95AC-5C98BC590CB4}">
  <sheetPr>
    <tabColor theme="7" tint="0.59999389629810485"/>
  </sheetPr>
  <dimension ref="A1:P32"/>
  <sheetViews>
    <sheetView topLeftCell="B22" zoomScaleNormal="100" workbookViewId="0">
      <selection activeCell="M35" sqref="M35:N35"/>
    </sheetView>
  </sheetViews>
  <sheetFormatPr defaultRowHeight="14.4" x14ac:dyDescent="0.2"/>
  <cols>
    <col min="2" max="2" width="37.375" customWidth="1"/>
    <col min="3" max="3" width="13.25" style="836" customWidth="1"/>
    <col min="4" max="4" width="41.25" customWidth="1"/>
    <col min="5" max="5" width="9" style="848" bestFit="1" customWidth="1"/>
    <col min="6" max="6" width="10.25" style="403" customWidth="1"/>
    <col min="7" max="7" width="11.875" customWidth="1"/>
    <col min="8" max="8" width="38.25" customWidth="1"/>
    <col min="10" max="10" width="9.625" customWidth="1"/>
  </cols>
  <sheetData>
    <row r="1" spans="1:16" ht="41.4" x14ac:dyDescent="0.3">
      <c r="A1" s="813" t="s">
        <v>1103</v>
      </c>
      <c r="B1" s="814"/>
      <c r="C1" s="815" t="s">
        <v>221</v>
      </c>
      <c r="D1" s="814"/>
      <c r="E1" s="816"/>
      <c r="F1" s="817" t="s">
        <v>1104</v>
      </c>
      <c r="H1" s="818" t="s">
        <v>1105</v>
      </c>
      <c r="I1" s="819"/>
      <c r="L1" s="404"/>
      <c r="M1" s="404"/>
      <c r="N1" s="404"/>
      <c r="O1" s="404"/>
      <c r="P1" s="404"/>
    </row>
    <row r="2" spans="1:16" x14ac:dyDescent="0.25">
      <c r="A2" s="820"/>
      <c r="B2" s="820"/>
      <c r="C2" s="821" t="s">
        <v>1010</v>
      </c>
      <c r="D2" s="822" t="s">
        <v>1106</v>
      </c>
      <c r="E2" s="823" t="s">
        <v>618</v>
      </c>
      <c r="F2" s="824"/>
      <c r="H2" s="825" t="s">
        <v>221</v>
      </c>
      <c r="I2" s="826" t="s">
        <v>610</v>
      </c>
    </row>
    <row r="3" spans="1:16" ht="43.2" x14ac:dyDescent="0.3">
      <c r="A3" s="820">
        <v>2</v>
      </c>
      <c r="B3" s="820" t="s">
        <v>1107</v>
      </c>
      <c r="C3" s="821">
        <v>2312</v>
      </c>
      <c r="D3" s="827" t="s">
        <v>1108</v>
      </c>
      <c r="E3" s="828">
        <v>3000</v>
      </c>
      <c r="F3" s="829">
        <f>E3</f>
        <v>3000</v>
      </c>
      <c r="H3" s="830">
        <v>2239</v>
      </c>
      <c r="I3" s="831">
        <f>SUM(E4:E23)</f>
        <v>68950</v>
      </c>
    </row>
    <row r="4" spans="1:16" x14ac:dyDescent="0.25">
      <c r="A4" s="820">
        <v>2</v>
      </c>
      <c r="B4" s="820" t="s">
        <v>1109</v>
      </c>
      <c r="C4" s="821"/>
      <c r="D4" s="832" t="s">
        <v>1110</v>
      </c>
      <c r="E4" s="828">
        <v>3000</v>
      </c>
      <c r="F4" s="824">
        <f>E4</f>
        <v>3000</v>
      </c>
      <c r="H4" s="830">
        <v>2312</v>
      </c>
      <c r="I4" s="831">
        <f>E3+E24</f>
        <v>9000</v>
      </c>
    </row>
    <row r="5" spans="1:16" ht="24" x14ac:dyDescent="0.3">
      <c r="A5" s="820">
        <v>3</v>
      </c>
      <c r="B5" s="833" t="s">
        <v>1111</v>
      </c>
      <c r="C5" s="821">
        <v>2239</v>
      </c>
      <c r="D5" s="832" t="s">
        <v>1112</v>
      </c>
      <c r="E5" s="828">
        <v>5200</v>
      </c>
      <c r="F5" s="1626">
        <f>E5+E6</f>
        <v>9000</v>
      </c>
      <c r="H5" s="834"/>
      <c r="I5" s="819">
        <f>SUM(I3:I4)</f>
        <v>77950</v>
      </c>
    </row>
    <row r="6" spans="1:16" ht="22.8" x14ac:dyDescent="0.2">
      <c r="A6" s="820"/>
      <c r="B6" s="835"/>
      <c r="C6" s="821"/>
      <c r="D6" s="832" t="s">
        <v>1113</v>
      </c>
      <c r="E6" s="828">
        <v>3800</v>
      </c>
      <c r="F6" s="1627"/>
      <c r="H6" s="836"/>
    </row>
    <row r="7" spans="1:16" x14ac:dyDescent="0.2">
      <c r="A7" s="820">
        <v>4</v>
      </c>
      <c r="B7" s="820" t="s">
        <v>1114</v>
      </c>
      <c r="C7" s="821"/>
      <c r="D7" s="832" t="s">
        <v>1115</v>
      </c>
      <c r="E7" s="828">
        <v>3000</v>
      </c>
      <c r="F7" s="824">
        <f>E7</f>
        <v>3000</v>
      </c>
      <c r="H7" s="836"/>
    </row>
    <row r="8" spans="1:16" x14ac:dyDescent="0.2">
      <c r="A8" s="820">
        <v>5</v>
      </c>
      <c r="B8" s="820" t="s">
        <v>1116</v>
      </c>
      <c r="C8" s="821"/>
      <c r="D8" s="837" t="s">
        <v>1117</v>
      </c>
      <c r="E8" s="828">
        <v>3000</v>
      </c>
      <c r="F8" s="824">
        <f>E8</f>
        <v>3000</v>
      </c>
      <c r="H8" s="836"/>
    </row>
    <row r="9" spans="1:16" ht="35.4" x14ac:dyDescent="0.3">
      <c r="A9" s="820">
        <v>6</v>
      </c>
      <c r="B9" s="833" t="s">
        <v>1118</v>
      </c>
      <c r="C9" s="821"/>
      <c r="D9" s="837" t="s">
        <v>1119</v>
      </c>
      <c r="E9" s="828">
        <v>2000</v>
      </c>
      <c r="F9" s="1628">
        <f>E9+E10+E11</f>
        <v>6650</v>
      </c>
      <c r="G9" s="1629">
        <f>F9+F12</f>
        <v>8650</v>
      </c>
      <c r="H9" s="838"/>
    </row>
    <row r="10" spans="1:16" ht="24" x14ac:dyDescent="0.3">
      <c r="A10" s="820"/>
      <c r="B10" s="820"/>
      <c r="C10" s="821"/>
      <c r="D10" s="837" t="s">
        <v>1120</v>
      </c>
      <c r="E10" s="828">
        <v>850</v>
      </c>
      <c r="F10" s="1626"/>
      <c r="G10" s="1629"/>
      <c r="H10" s="838"/>
    </row>
    <row r="11" spans="1:16" x14ac:dyDescent="0.3">
      <c r="A11" s="820"/>
      <c r="B11" s="835" t="s">
        <v>1121</v>
      </c>
      <c r="C11" s="821">
        <v>2239</v>
      </c>
      <c r="D11" s="832" t="s">
        <v>1122</v>
      </c>
      <c r="E11" s="828">
        <v>3800</v>
      </c>
      <c r="F11" s="1627"/>
      <c r="G11" s="1629"/>
      <c r="H11" s="838"/>
    </row>
    <row r="12" spans="1:16" ht="24" x14ac:dyDescent="0.3">
      <c r="A12" s="820"/>
      <c r="B12" s="822" t="s">
        <v>1123</v>
      </c>
      <c r="C12" s="821"/>
      <c r="D12" s="837" t="s">
        <v>1124</v>
      </c>
      <c r="E12" s="828">
        <v>2000</v>
      </c>
      <c r="F12" s="829">
        <f>E12</f>
        <v>2000</v>
      </c>
      <c r="G12" s="1629"/>
      <c r="H12" s="838"/>
    </row>
    <row r="13" spans="1:16" x14ac:dyDescent="0.3">
      <c r="A13" s="820">
        <v>7</v>
      </c>
      <c r="B13" s="833" t="s">
        <v>1125</v>
      </c>
      <c r="C13" s="821"/>
      <c r="D13" s="837"/>
      <c r="E13" s="823"/>
      <c r="F13" s="824"/>
      <c r="H13" s="839"/>
    </row>
    <row r="14" spans="1:16" ht="24" x14ac:dyDescent="0.3">
      <c r="A14" s="820"/>
      <c r="B14" s="835" t="s">
        <v>1126</v>
      </c>
      <c r="C14" s="821"/>
      <c r="D14" s="837" t="s">
        <v>1127</v>
      </c>
      <c r="E14" s="828">
        <v>300</v>
      </c>
      <c r="F14" s="1630">
        <f>E14+E15+E16+E17+E18+E19+E21+E22+E23+E24</f>
        <v>48300</v>
      </c>
      <c r="H14" s="840"/>
    </row>
    <row r="15" spans="1:16" ht="24" x14ac:dyDescent="0.3">
      <c r="A15" s="820"/>
      <c r="B15" s="835" t="s">
        <v>1128</v>
      </c>
      <c r="C15" s="821"/>
      <c r="D15" s="820" t="s">
        <v>1129</v>
      </c>
      <c r="E15" s="828">
        <v>3500</v>
      </c>
      <c r="F15" s="1630"/>
      <c r="G15" s="1631">
        <f>E15+E16+E17+E18+E19+E21</f>
        <v>38000</v>
      </c>
      <c r="H15" s="840"/>
    </row>
    <row r="16" spans="1:16" ht="24" x14ac:dyDescent="0.3">
      <c r="A16" s="820"/>
      <c r="B16" s="835" t="s">
        <v>1128</v>
      </c>
      <c r="C16" s="821"/>
      <c r="D16" s="820" t="s">
        <v>1130</v>
      </c>
      <c r="E16" s="828">
        <v>5000</v>
      </c>
      <c r="F16" s="1630"/>
      <c r="G16" s="1631"/>
      <c r="H16" s="840"/>
    </row>
    <row r="17" spans="1:9" ht="28.8" x14ac:dyDescent="0.3">
      <c r="A17" s="820"/>
      <c r="B17" s="835"/>
      <c r="C17" s="821"/>
      <c r="D17" s="841" t="s">
        <v>1131</v>
      </c>
      <c r="E17" s="828">
        <v>5000</v>
      </c>
      <c r="F17" s="1630"/>
      <c r="G17" s="1631"/>
      <c r="H17" s="840"/>
    </row>
    <row r="18" spans="1:9" x14ac:dyDescent="0.3">
      <c r="A18" s="820"/>
      <c r="B18" s="835" t="s">
        <v>1128</v>
      </c>
      <c r="C18" s="821"/>
      <c r="D18" s="822" t="s">
        <v>1132</v>
      </c>
      <c r="E18" s="828">
        <v>1500</v>
      </c>
      <c r="F18" s="1630"/>
      <c r="G18" s="1631"/>
      <c r="H18" s="840"/>
    </row>
    <row r="19" spans="1:9" ht="35.4" x14ac:dyDescent="0.3">
      <c r="A19" s="820"/>
      <c r="B19" s="835" t="s">
        <v>1133</v>
      </c>
      <c r="C19" s="821"/>
      <c r="D19" s="820" t="s">
        <v>1134</v>
      </c>
      <c r="E19" s="1624">
        <v>15000</v>
      </c>
      <c r="F19" s="1630"/>
      <c r="G19" s="1631"/>
      <c r="H19" s="840"/>
    </row>
    <row r="20" spans="1:9" x14ac:dyDescent="0.3">
      <c r="A20" s="820"/>
      <c r="B20" s="835"/>
      <c r="C20" s="821"/>
      <c r="D20" s="841" t="s">
        <v>1135</v>
      </c>
      <c r="E20" s="1625"/>
      <c r="F20" s="1630"/>
      <c r="G20" s="1631"/>
      <c r="H20" s="840"/>
    </row>
    <row r="21" spans="1:9" x14ac:dyDescent="0.3">
      <c r="A21" s="820"/>
      <c r="B21" s="835" t="s">
        <v>1133</v>
      </c>
      <c r="C21" s="821"/>
      <c r="D21" s="841" t="s">
        <v>1136</v>
      </c>
      <c r="E21" s="828">
        <v>8000</v>
      </c>
      <c r="F21" s="1630"/>
      <c r="G21" s="1631"/>
      <c r="H21" s="840"/>
    </row>
    <row r="22" spans="1:9" x14ac:dyDescent="0.3">
      <c r="A22" s="820"/>
      <c r="B22" s="835" t="s">
        <v>1137</v>
      </c>
      <c r="C22" s="821"/>
      <c r="D22" s="820" t="s">
        <v>1138</v>
      </c>
      <c r="E22" s="828">
        <v>2000</v>
      </c>
      <c r="F22" s="1630"/>
      <c r="G22" s="842"/>
      <c r="H22" s="840"/>
    </row>
    <row r="23" spans="1:9" x14ac:dyDescent="0.3">
      <c r="A23" s="820"/>
      <c r="B23" s="835" t="s">
        <v>1139</v>
      </c>
      <c r="C23" s="821"/>
      <c r="D23" s="820"/>
      <c r="E23" s="828">
        <v>2000</v>
      </c>
      <c r="F23" s="1630"/>
      <c r="G23" s="842"/>
      <c r="H23" s="840"/>
    </row>
    <row r="24" spans="1:9" ht="28.8" x14ac:dyDescent="0.3">
      <c r="A24" s="820"/>
      <c r="B24" s="835"/>
      <c r="C24" s="821">
        <v>2312</v>
      </c>
      <c r="D24" s="843" t="s">
        <v>1140</v>
      </c>
      <c r="E24" s="828">
        <v>6000</v>
      </c>
      <c r="F24" s="1630"/>
      <c r="H24" s="840"/>
    </row>
    <row r="25" spans="1:9" ht="13.8" x14ac:dyDescent="0.3">
      <c r="A25" s="107"/>
      <c r="B25" s="844"/>
      <c r="C25" s="845"/>
      <c r="D25" s="298"/>
      <c r="E25" s="846" t="s">
        <v>151</v>
      </c>
      <c r="F25" s="847">
        <f>SUM(F3:F24)</f>
        <v>77950</v>
      </c>
    </row>
    <row r="28" spans="1:9" x14ac:dyDescent="0.3">
      <c r="A28" s="933"/>
      <c r="B28" s="934" t="s">
        <v>1188</v>
      </c>
      <c r="C28" s="934"/>
      <c r="D28" s="934"/>
      <c r="E28" s="935"/>
      <c r="F28" s="936"/>
      <c r="G28" s="933"/>
      <c r="H28" s="937"/>
    </row>
    <row r="29" spans="1:9" ht="35.4" x14ac:dyDescent="0.3">
      <c r="A29" s="938">
        <v>1</v>
      </c>
      <c r="B29" s="939" t="s">
        <v>1189</v>
      </c>
      <c r="C29" s="940"/>
      <c r="D29" s="941" t="s">
        <v>1190</v>
      </c>
      <c r="E29" s="942">
        <v>45000</v>
      </c>
      <c r="F29" s="943">
        <f>E29</f>
        <v>45000</v>
      </c>
      <c r="G29" s="933"/>
      <c r="H29" s="937"/>
    </row>
    <row r="30" spans="1:9" x14ac:dyDescent="0.3">
      <c r="A30" s="938">
        <v>2</v>
      </c>
      <c r="B30" s="941" t="s">
        <v>1191</v>
      </c>
      <c r="C30" s="940"/>
      <c r="D30" s="941" t="s">
        <v>1192</v>
      </c>
      <c r="E30" s="942">
        <v>4600</v>
      </c>
      <c r="F30" s="943">
        <f>E30</f>
        <v>4600</v>
      </c>
      <c r="G30" s="933"/>
      <c r="H30" s="937"/>
    </row>
    <row r="31" spans="1:9" ht="24" x14ac:dyDescent="0.3">
      <c r="A31" s="938">
        <v>3</v>
      </c>
      <c r="B31" s="941" t="s">
        <v>1193</v>
      </c>
      <c r="C31" s="940"/>
      <c r="D31" s="944" t="s">
        <v>1194</v>
      </c>
      <c r="E31" s="942">
        <v>0</v>
      </c>
      <c r="F31" s="943">
        <f>E31</f>
        <v>0</v>
      </c>
      <c r="G31" s="933"/>
      <c r="H31" s="937"/>
      <c r="I31" t="s">
        <v>1195</v>
      </c>
    </row>
    <row r="32" spans="1:9" x14ac:dyDescent="0.3">
      <c r="A32" s="936"/>
      <c r="B32" s="933"/>
      <c r="C32" s="945"/>
      <c r="D32" s="933"/>
      <c r="E32" s="935"/>
      <c r="F32" s="936"/>
      <c r="G32" s="933"/>
      <c r="H32" s="937">
        <f>F29+F30+F31</f>
        <v>49600</v>
      </c>
    </row>
  </sheetData>
  <mergeCells count="6">
    <mergeCell ref="E19:E20"/>
    <mergeCell ref="F5:F6"/>
    <mergeCell ref="F9:F11"/>
    <mergeCell ref="G9:G12"/>
    <mergeCell ref="F14:F24"/>
    <mergeCell ref="G15:G21"/>
  </mergeCells>
  <conditionalFormatting sqref="B25">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PIVOT_2023</vt:lpstr>
      <vt:lpstr>Investīcijas_2023</vt:lpstr>
      <vt:lpstr>4.piel_Saistibas</vt:lpstr>
      <vt:lpstr>0841</vt:lpstr>
      <vt:lpstr>0841.1_Gaujas svetki</vt:lpstr>
      <vt:lpstr>0841.4_Dziesmu svētki</vt:lpstr>
      <vt:lpstr>0812_Sport</vt:lpstr>
      <vt:lpstr>0812 _Trenažieri</vt:lpstr>
      <vt:lpstr>0630_dekori</vt:lpstr>
      <vt:lpstr>Priekšlikumi ārtelpas projekt</vt:lpstr>
      <vt:lpstr>'0841'!_Hlk118286372</vt:lpstr>
      <vt:lpstr>Kolonnas_virsraksta_reģions1..B11.1</vt:lpstr>
      <vt:lpstr>Kolonnas_virsraksta_reģions1..D4</vt:lpstr>
      <vt:lpstr>Kolonnas_virsraksta_reģions2..D7</vt:lpstr>
      <vt:lpstr>Kolonnas_virsraksta_reģions3..C12</vt:lpstr>
      <vt:lpstr>KolonnasNosaukums1</vt:lpstr>
      <vt:lpstr>'0812 _Trenažieri'!page1</vt:lpstr>
      <vt:lpstr>'0812 _Trenažieri'!page2</vt:lpstr>
      <vt:lpstr>'0812 _Trenažieri'!page3</vt:lpstr>
      <vt:lpstr>'0812 _Trenažieri'!page4</vt:lpstr>
      <vt:lpstr>'0812 _Trenažieri'!page5</vt:lpstr>
      <vt:lpstr>'0812 _Trenažieri'!page6</vt:lpstr>
      <vt:lpstr>'0812 _Trenažieri'!page7</vt:lpstr>
      <vt:lpstr>'4.piel_Saistibas'!Print_Area</vt:lpstr>
      <vt:lpstr>'0841'!Print_Titles</vt:lpstr>
      <vt:lpstr>'4.piel_Saistibas'!Print_Titles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cp:lastPrinted>2023-01-17T08:24:46Z</cp:lastPrinted>
  <dcterms:created xsi:type="dcterms:W3CDTF">2015-07-17T07:55:13Z</dcterms:created>
  <dcterms:modified xsi:type="dcterms:W3CDTF">2023-02-03T10:54:11Z</dcterms:modified>
</cp:coreProperties>
</file>