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Povlovska\Desktop\"/>
    </mc:Choice>
  </mc:AlternateContent>
  <xr:revisionPtr revIDLastSave="0" documentId="8_{F4DE4DDC-5E98-4752-B530-90D4E243618D}" xr6:coauthVersionLast="47" xr6:coauthVersionMax="47" xr10:uidLastSave="{00000000-0000-0000-0000-000000000000}"/>
  <bookViews>
    <workbookView xWindow="-108" yWindow="-108" windowWidth="23256" windowHeight="12456" xr2:uid="{14C8F951-ADA0-4C49-BCAA-AE7FAD45232A}"/>
  </bookViews>
  <sheets>
    <sheet name="2023.gada budzets" sheetId="1" r:id="rId1"/>
    <sheet name="4.piel_Saistibas" sheetId="2" r:id="rId2"/>
  </sheets>
  <externalReferences>
    <externalReference r:id="rId3"/>
    <externalReference r:id="rId4"/>
    <externalReference r:id="rId5"/>
    <externalReference r:id="rId6"/>
  </externalReferences>
  <definedNames>
    <definedName name="_0812" localSheetId="1">[1]Groz_NIN_12_2014!#REF!</definedName>
    <definedName name="_0812">[1]Groz_NIN_12_2014!#REF!</definedName>
    <definedName name="_xlnm._FilterDatabase" localSheetId="0" hidden="1">'2023.gada budzets'!#REF!</definedName>
    <definedName name="Apmaksa" localSheetId="0">[2]Apmaksa!$A:$A</definedName>
    <definedName name="Apmaksa" localSheetId="1">[3]Apmaksa!$A$1:$A$65536</definedName>
    <definedName name="Apmaksa">[3]Apmaksa!$A$1:$A$65536</definedName>
    <definedName name="Darijums" localSheetId="0">[2]Darijums!$A:$A</definedName>
    <definedName name="Darijums" localSheetId="1">[3]Darijums!$A$1:$A$65536</definedName>
    <definedName name="Darijums">[3]Darijums!$A$1:$A$65536</definedName>
    <definedName name="Excel_BuiltIn__FilterDatabase" localSheetId="0">[1]Groz_NIN_12_2014!#REF!</definedName>
    <definedName name="Excel_BuiltIn__FilterDatabase" localSheetId="1">[1]Groz_NIN_12_2014!#REF!</definedName>
    <definedName name="Excel_BuiltIn__FilterDatabase">[1]Groz_NIN_12_2014!#REF!</definedName>
    <definedName name="Firmas" localSheetId="0">[2]Firma!$A:$A</definedName>
    <definedName name="Firmas" localSheetId="1">[3]Firma!$A$1:$A$65536</definedName>
    <definedName name="Firmas">[3]Firma!$A$1:$A$65536</definedName>
    <definedName name="KolonnasNosaukums1">[4]!Piedāvājums[[#Headers],[Apraksts]]</definedName>
    <definedName name="Parvadataji" localSheetId="0">[2]Ligumi!$A:$A</definedName>
    <definedName name="Parvadataji" localSheetId="1">[3]Ligumi!$A$1:$A$65536</definedName>
    <definedName name="Parvadataji">[3]Ligumi!$A$1:$A$65536</definedName>
    <definedName name="_xlnm.Print_Area" localSheetId="0">'2023.gada budzets'!$E$1:$E$277</definedName>
    <definedName name="_xlnm.Print_Area" localSheetId="1">'4.piel_Saistibas'!$A$1:$AF$207</definedName>
    <definedName name="_xlnm.Print_Titles" localSheetId="0">'2023.gada budzets'!$5:$5</definedName>
    <definedName name="_xlnm.Print_Titles" localSheetId="1">'4.piel_Saistibas'!$9:$9</definedName>
    <definedName name="Saist_apmers_ar_galvojumu">[3]Ligumi!$A$1:$A$65536</definedName>
    <definedName name="Z_1893421C_DBAA_4C10_AA6C_4D0F39122205_.wvu.FilterData" localSheetId="0">[1]Groz_NIN_12_2014!#REF!</definedName>
    <definedName name="Z_1893421C_DBAA_4C10_AA6C_4D0F39122205_.wvu.FilterData" localSheetId="1">[1]Groz_NIN_12_2014!#REF!</definedName>
    <definedName name="Z_1893421C_DBAA_4C10_AA6C_4D0F39122205_.wvu.FilterData">[1]Groz_NIN_12_2014!#REF!</definedName>
    <definedName name="Z_483F8D4B_D649_4D59_A67B_5E8B6C0D2E28_.wvu.FilterData" localSheetId="0">[1]Groz_NIN_12_2014!#REF!</definedName>
    <definedName name="Z_483F8D4B_D649_4D59_A67B_5E8B6C0D2E28_.wvu.FilterData" localSheetId="1">[1]Groz_NIN_12_2014!#REF!</definedName>
    <definedName name="Z_483F8D4B_D649_4D59_A67B_5E8B6C0D2E28_.wvu.FilterData">[1]Groz_NIN_12_2014!#REF!</definedName>
    <definedName name="Z_56A06D27_97E5_4D01_ADCE_F8E0A2A870EF_.wvu.FilterData" localSheetId="0">[1]Groz_NIN_12_2014!#REF!</definedName>
    <definedName name="Z_56A06D27_97E5_4D01_ADCE_F8E0A2A870EF_.wvu.FilterData" localSheetId="1">[1]Groz_NIN_12_2014!#REF!</definedName>
    <definedName name="Z_56A06D27_97E5_4D01_ADCE_F8E0A2A870EF_.wvu.FilterData">[1]Groz_NIN_12_2014!#REF!</definedName>
    <definedName name="Z_81EB1DB6_89AB_4045_90FA_EF2BA7E792F9_.wvu.FilterData" localSheetId="0">[1]Groz_NIN_12_2014!#REF!</definedName>
    <definedName name="Z_81EB1DB6_89AB_4045_90FA_EF2BA7E792F9_.wvu.FilterData" localSheetId="1">[1]Groz_NIN_12_2014!#REF!</definedName>
    <definedName name="Z_81EB1DB6_89AB_4045_90FA_EF2BA7E792F9_.wvu.FilterData">[1]Groz_NIN_12_2014!#REF!</definedName>
    <definedName name="Z_81EB1DB6_89AB_4045_90FA_EF2BA7E792F9_.wvu.PrintArea" localSheetId="0">[1]Groz_NIN_12_2014!#REF!</definedName>
    <definedName name="Z_81EB1DB6_89AB_4045_90FA_EF2BA7E792F9_.wvu.PrintArea" localSheetId="1">[1]Groz_NIN_12_2014!#REF!</definedName>
    <definedName name="Z_81EB1DB6_89AB_4045_90FA_EF2BA7E792F9_.wvu.PrintArea">[1]Groz_NIN_12_2014!#REF!</definedName>
    <definedName name="Z_8545B4E6_A517_4BD7_BFB7_42FEB5F229AD_.wvu.FilterData" localSheetId="0">[1]Groz_NIN_12_2014!#REF!</definedName>
    <definedName name="Z_8545B4E6_A517_4BD7_BFB7_42FEB5F229AD_.wvu.FilterData" localSheetId="1">[1]Groz_NIN_12_2014!#REF!</definedName>
    <definedName name="Z_8545B4E6_A517_4BD7_BFB7_42FEB5F229AD_.wvu.FilterData">[1]Groz_NIN_12_2014!#REF!</definedName>
    <definedName name="Z_877A1030_2452_46B0_88DF_8A068656C08E_.wvu.FilterData" localSheetId="0">[1]Groz_NIN_12_2014!#REF!</definedName>
    <definedName name="Z_877A1030_2452_46B0_88DF_8A068656C08E_.wvu.FilterData" localSheetId="1">[1]Groz_NIN_12_2014!#REF!</definedName>
    <definedName name="Z_877A1030_2452_46B0_88DF_8A068656C08E_.wvu.FilterData">[1]Groz_NIN_12_2014!#REF!</definedName>
    <definedName name="Z_ABD8A783_3A6C_4629_9559_1E4E89E80131_.wvu.FilterData" localSheetId="0">[1]Groz_NIN_12_2014!#REF!</definedName>
    <definedName name="Z_ABD8A783_3A6C_4629_9559_1E4E89E80131_.wvu.FilterData" localSheetId="1">[1]Groz_NIN_12_2014!#REF!</definedName>
    <definedName name="Z_ABD8A783_3A6C_4629_9559_1E4E89E80131_.wvu.FilterData">[1]Groz_NIN_12_2014!#REF!</definedName>
    <definedName name="Z_AF277C95_CBD9_4696_AC72_D010599E9831_.wvu.FilterData" localSheetId="0">[1]Groz_NIN_12_2014!#REF!</definedName>
    <definedName name="Z_AF277C95_CBD9_4696_AC72_D010599E9831_.wvu.FilterData" localSheetId="1">[1]Groz_NIN_12_2014!#REF!</definedName>
    <definedName name="Z_AF277C95_CBD9_4696_AC72_D010599E9831_.wvu.FilterData">[1]Groz_NIN_12_2014!#REF!</definedName>
    <definedName name="Z_B7CBCF06_FF41_423A_9AB3_E1D1F70C6FC5_.wvu.FilterData" localSheetId="0">[1]Groz_NIN_12_2014!#REF!</definedName>
    <definedName name="Z_B7CBCF06_FF41_423A_9AB3_E1D1F70C6FC5_.wvu.FilterData" localSheetId="1">[1]Groz_NIN_12_2014!#REF!</definedName>
    <definedName name="Z_B7CBCF06_FF41_423A_9AB3_E1D1F70C6FC5_.wvu.FilterData">[1]Groz_NIN_12_2014!#REF!</definedName>
    <definedName name="Z_C5511FB8_86C5_41F3_ADCD_B10310F066F5_.wvu.FilterData" localSheetId="0">[1]Groz_NIN_12_2014!#REF!</definedName>
    <definedName name="Z_C5511FB8_86C5_41F3_ADCD_B10310F066F5_.wvu.FilterData" localSheetId="1">[1]Groz_NIN_12_2014!#REF!</definedName>
    <definedName name="Z_C5511FB8_86C5_41F3_ADCD_B10310F066F5_.wvu.FilterData">[1]Groz_NIN_12_2014!#REF!</definedName>
    <definedName name="Z_DB8ECBD1_2D44_4F97_BCC9_F610BA0A3109_.wvu.FilterData" localSheetId="0">[1]Groz_NIN_12_2014!#REF!</definedName>
    <definedName name="Z_DB8ECBD1_2D44_4F97_BCC9_F610BA0A3109_.wvu.FilterData" localSheetId="1">[1]Groz_NIN_12_2014!#REF!</definedName>
    <definedName name="Z_DB8ECBD1_2D44_4F97_BCC9_F610BA0A3109_.wvu.FilterData">[1]Groz_NIN_12_2014!#REF!</definedName>
    <definedName name="Z_DEE3A27E_689A_4E9F_A3EB_C84F1E3B413E_.wvu.FilterData" localSheetId="0">[1]Groz_NIN_12_2014!#REF!</definedName>
    <definedName name="Z_DEE3A27E_689A_4E9F_A3EB_C84F1E3B413E_.wvu.FilterData" localSheetId="1">[1]Groz_NIN_12_2014!#REF!</definedName>
    <definedName name="Z_DEE3A27E_689A_4E9F_A3EB_C84F1E3B413E_.wvu.FilterData">[1]Groz_NIN_12_2014!#REF!</definedName>
    <definedName name="Z_F1F489B9_0F61_4F1F_A151_75EF77465344_.wvu.Cols" localSheetId="0">[1]Groz_NIN_12_2014!#REF!</definedName>
    <definedName name="Z_F1F489B9_0F61_4F1F_A151_75EF77465344_.wvu.Cols" localSheetId="1">[1]Groz_NIN_12_2014!#REF!</definedName>
    <definedName name="Z_F1F489B9_0F61_4F1F_A151_75EF77465344_.wvu.Cols">[1]Groz_NIN_12_2014!#REF!</definedName>
    <definedName name="Z_F1F489B9_0F61_4F1F_A151_75EF77465344_.wvu.FilterData" localSheetId="0">[1]Groz_NIN_12_2014!#REF!</definedName>
    <definedName name="Z_F1F489B9_0F61_4F1F_A151_75EF77465344_.wvu.FilterData" localSheetId="1">[1]Groz_NIN_12_2014!#REF!</definedName>
    <definedName name="Z_F1F489B9_0F61_4F1F_A151_75EF77465344_.wvu.FilterData">[1]Groz_NIN_12_2014!#REF!</definedName>
    <definedName name="Z_F1F489B9_0F61_4F1F_A151_75EF77465344_.wvu.PrintArea" localSheetId="0">[1]Groz_NIN_12_2014!#REF!</definedName>
    <definedName name="Z_F1F489B9_0F61_4F1F_A151_75EF77465344_.wvu.PrintArea" localSheetId="1">[1]Groz_NIN_12_2014!#REF!</definedName>
    <definedName name="Z_F1F489B9_0F61_4F1F_A151_75EF77465344_.wvu.PrintArea">[1]Groz_NIN_12_2014!#REF!</definedName>
    <definedName name="Z_F1F489B9_0F61_4F1F_A151_75EF77465344_.wvu.PrintTitles" localSheetId="0">[1]Groz_NIN_12_2014!#REF!</definedName>
    <definedName name="Z_F1F489B9_0F61_4F1F_A151_75EF77465344_.wvu.PrintTitles" localSheetId="1">[1]Groz_NIN_12_2014!#REF!</definedName>
    <definedName name="Z_F1F489B9_0F61_4F1F_A151_75EF77465344_.wvu.PrintTitles">[1]Groz_NIN_12_2014!#REF!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0" i="1" l="1"/>
  <c r="N242" i="1"/>
  <c r="N58" i="1"/>
  <c r="N57" i="1"/>
  <c r="N258" i="1"/>
  <c r="O258" i="1" s="1"/>
  <c r="N46" i="1"/>
  <c r="W202" i="2"/>
  <c r="V202" i="2"/>
  <c r="I199" i="2"/>
  <c r="W196" i="2"/>
  <c r="V196" i="2"/>
  <c r="W190" i="2"/>
  <c r="W204" i="2" s="1"/>
  <c r="V190" i="2"/>
  <c r="AE189" i="2"/>
  <c r="AD189" i="2"/>
  <c r="AC189" i="2"/>
  <c r="AB189" i="2"/>
  <c r="AA189" i="2"/>
  <c r="Z189" i="2"/>
  <c r="Y189" i="2"/>
  <c r="X189" i="2"/>
  <c r="AF189" i="2" s="1"/>
  <c r="AF188" i="2"/>
  <c r="L188" i="2"/>
  <c r="AF187" i="2"/>
  <c r="AF186" i="2"/>
  <c r="AF185" i="2"/>
  <c r="AF184" i="2"/>
  <c r="AF183" i="2"/>
  <c r="AF182" i="2"/>
  <c r="AF180" i="2"/>
  <c r="L180" i="2"/>
  <c r="Y181" i="2" s="1"/>
  <c r="Y190" i="2" s="1"/>
  <c r="Y204" i="2" s="1"/>
  <c r="AI171" i="2"/>
  <c r="W169" i="2"/>
  <c r="V169" i="2"/>
  <c r="AD168" i="2"/>
  <c r="AC168" i="2"/>
  <c r="AB168" i="2"/>
  <c r="AA168" i="2"/>
  <c r="Z168" i="2"/>
  <c r="Y168" i="2"/>
  <c r="X168" i="2"/>
  <c r="W168" i="2"/>
  <c r="W170" i="2" s="1"/>
  <c r="V168" i="2"/>
  <c r="V170" i="2" s="1"/>
  <c r="AI167" i="2"/>
  <c r="AD164" i="2"/>
  <c r="AD172" i="2" s="1"/>
  <c r="AC164" i="2"/>
  <c r="AB164" i="2"/>
  <c r="AA164" i="2"/>
  <c r="Z164" i="2"/>
  <c r="Z172" i="2" s="1"/>
  <c r="Y164" i="2"/>
  <c r="Y172" i="2" s="1"/>
  <c r="W164" i="2"/>
  <c r="W172" i="2" s="1"/>
  <c r="V164" i="2"/>
  <c r="U164" i="2"/>
  <c r="U172" i="2" s="1"/>
  <c r="R164" i="2"/>
  <c r="Q164" i="2"/>
  <c r="Q168" i="2" s="1"/>
  <c r="Q173" i="2" s="1"/>
  <c r="AD160" i="2"/>
  <c r="AC160" i="2"/>
  <c r="AB160" i="2"/>
  <c r="AA160" i="2"/>
  <c r="Z160" i="2"/>
  <c r="Y160" i="2"/>
  <c r="M160" i="2"/>
  <c r="L160" i="2"/>
  <c r="AD158" i="2"/>
  <c r="AC158" i="2"/>
  <c r="AB158" i="2"/>
  <c r="AB159" i="2" s="1"/>
  <c r="AA158" i="2"/>
  <c r="Z158" i="2"/>
  <c r="AE158" i="2" s="1"/>
  <c r="Y158" i="2"/>
  <c r="M158" i="2"/>
  <c r="L158" i="2"/>
  <c r="AD156" i="2"/>
  <c r="AA157" i="2" s="1"/>
  <c r="AC156" i="2"/>
  <c r="AB156" i="2"/>
  <c r="AA156" i="2"/>
  <c r="Z156" i="2"/>
  <c r="Z157" i="2" s="1"/>
  <c r="Y156" i="2"/>
  <c r="AE156" i="2" s="1"/>
  <c r="M156" i="2"/>
  <c r="L156" i="2"/>
  <c r="AD157" i="2" s="1"/>
  <c r="AB155" i="2"/>
  <c r="AC154" i="2"/>
  <c r="AB154" i="2"/>
  <c r="AA154" i="2"/>
  <c r="Z154" i="2"/>
  <c r="AF154" i="2" s="1"/>
  <c r="Y154" i="2"/>
  <c r="M154" i="2"/>
  <c r="AE155" i="2" s="1"/>
  <c r="L154" i="2"/>
  <c r="AC155" i="2" s="1"/>
  <c r="AD152" i="2"/>
  <c r="AC152" i="2"/>
  <c r="AB152" i="2"/>
  <c r="AF152" i="2" s="1"/>
  <c r="AA152" i="2"/>
  <c r="Z152" i="2"/>
  <c r="Y152" i="2"/>
  <c r="AE152" i="2" s="1"/>
  <c r="M152" i="2"/>
  <c r="AC153" i="2" s="1"/>
  <c r="L152" i="2"/>
  <c r="AA153" i="2" s="1"/>
  <c r="AD150" i="2"/>
  <c r="AC150" i="2"/>
  <c r="AB150" i="2"/>
  <c r="AA150" i="2"/>
  <c r="Z150" i="2"/>
  <c r="AE150" i="2" s="1"/>
  <c r="AE151" i="2" s="1"/>
  <c r="Y150" i="2"/>
  <c r="AF150" i="2" s="1"/>
  <c r="M150" i="2"/>
  <c r="AC151" i="2" s="1"/>
  <c r="L150" i="2"/>
  <c r="AA151" i="2" s="1"/>
  <c r="AD148" i="2"/>
  <c r="AC148" i="2"/>
  <c r="AB148" i="2"/>
  <c r="AF148" i="2" s="1"/>
  <c r="AA148" i="2"/>
  <c r="Z148" i="2"/>
  <c r="Y148" i="2"/>
  <c r="AE148" i="2" s="1"/>
  <c r="M148" i="2"/>
  <c r="AC149" i="2" s="1"/>
  <c r="L148" i="2"/>
  <c r="AA149" i="2" s="1"/>
  <c r="AE147" i="2"/>
  <c r="AC146" i="2"/>
  <c r="AB146" i="2"/>
  <c r="AA146" i="2"/>
  <c r="Z146" i="2"/>
  <c r="Y146" i="2"/>
  <c r="AF146" i="2" s="1"/>
  <c r="M146" i="2"/>
  <c r="AB147" i="2" s="1"/>
  <c r="L146" i="2"/>
  <c r="AC147" i="2" s="1"/>
  <c r="AE144" i="2"/>
  <c r="AD145" i="2" s="1"/>
  <c r="AD144" i="2"/>
  <c r="AC144" i="2"/>
  <c r="AB144" i="2"/>
  <c r="AA144" i="2"/>
  <c r="Z144" i="2"/>
  <c r="Y144" i="2"/>
  <c r="M144" i="2"/>
  <c r="L144" i="2"/>
  <c r="AC143" i="2"/>
  <c r="AB143" i="2"/>
  <c r="AF142" i="2"/>
  <c r="AD142" i="2"/>
  <c r="AC142" i="2"/>
  <c r="AB142" i="2"/>
  <c r="AA142" i="2"/>
  <c r="Z142" i="2"/>
  <c r="Y142" i="2"/>
  <c r="AE142" i="2" s="1"/>
  <c r="M142" i="2"/>
  <c r="L142" i="2"/>
  <c r="AD143" i="2" s="1"/>
  <c r="AD141" i="2"/>
  <c r="AC140" i="2"/>
  <c r="AB140" i="2"/>
  <c r="Z141" i="2" s="1"/>
  <c r="AA140" i="2"/>
  <c r="Z140" i="2"/>
  <c r="Y140" i="2"/>
  <c r="M140" i="2"/>
  <c r="L140" i="2"/>
  <c r="AF138" i="2"/>
  <c r="M138" i="2"/>
  <c r="AD139" i="2" s="1"/>
  <c r="L138" i="2"/>
  <c r="AD137" i="2"/>
  <c r="AA137" i="2"/>
  <c r="Z137" i="2"/>
  <c r="AF136" i="2"/>
  <c r="M136" i="2"/>
  <c r="L136" i="2"/>
  <c r="AF134" i="2"/>
  <c r="M134" i="2"/>
  <c r="AA135" i="2" s="1"/>
  <c r="L134" i="2"/>
  <c r="AD133" i="2"/>
  <c r="AE132" i="2"/>
  <c r="X132" i="2"/>
  <c r="M132" i="2"/>
  <c r="L132" i="2"/>
  <c r="AB133" i="2" s="1"/>
  <c r="AE131" i="2"/>
  <c r="AC131" i="2"/>
  <c r="AB131" i="2"/>
  <c r="Z131" i="2"/>
  <c r="X131" i="2"/>
  <c r="AF130" i="2"/>
  <c r="M130" i="2"/>
  <c r="L130" i="2"/>
  <c r="AD131" i="2" s="1"/>
  <c r="AC129" i="2"/>
  <c r="AB129" i="2"/>
  <c r="Z129" i="2"/>
  <c r="X129" i="2"/>
  <c r="W129" i="2"/>
  <c r="AF128" i="2"/>
  <c r="M128" i="2"/>
  <c r="L128" i="2"/>
  <c r="AF126" i="2"/>
  <c r="M126" i="2"/>
  <c r="L126" i="2"/>
  <c r="AD127" i="2" s="1"/>
  <c r="AD125" i="2"/>
  <c r="AC125" i="2"/>
  <c r="AA125" i="2"/>
  <c r="Y125" i="2"/>
  <c r="AF124" i="2"/>
  <c r="M124" i="2"/>
  <c r="L124" i="2"/>
  <c r="AF122" i="2"/>
  <c r="M122" i="2"/>
  <c r="L122" i="2"/>
  <c r="AD121" i="2"/>
  <c r="AC121" i="2"/>
  <c r="AF120" i="2"/>
  <c r="M120" i="2"/>
  <c r="L120" i="2"/>
  <c r="AC119" i="2"/>
  <c r="AA119" i="2"/>
  <c r="Y119" i="2"/>
  <c r="AF118" i="2"/>
  <c r="M118" i="2"/>
  <c r="L118" i="2"/>
  <c r="AD119" i="2" s="1"/>
  <c r="AF116" i="2"/>
  <c r="M116" i="2"/>
  <c r="L116" i="2"/>
  <c r="AC117" i="2" s="1"/>
  <c r="AD115" i="2"/>
  <c r="AC115" i="2"/>
  <c r="AA115" i="2"/>
  <c r="Y115" i="2"/>
  <c r="AF114" i="2"/>
  <c r="M114" i="2"/>
  <c r="L114" i="2"/>
  <c r="AF112" i="2"/>
  <c r="M112" i="2"/>
  <c r="L112" i="2"/>
  <c r="AD111" i="2"/>
  <c r="AC111" i="2"/>
  <c r="AA111" i="2"/>
  <c r="AF110" i="2"/>
  <c r="M110" i="2"/>
  <c r="L110" i="2"/>
  <c r="AF108" i="2"/>
  <c r="M108" i="2"/>
  <c r="L108" i="2"/>
  <c r="AD107" i="2"/>
  <c r="AF106" i="2"/>
  <c r="M106" i="2"/>
  <c r="L106" i="2"/>
  <c r="AD105" i="2"/>
  <c r="AC105" i="2"/>
  <c r="AA105" i="2"/>
  <c r="Y105" i="2"/>
  <c r="AF104" i="2"/>
  <c r="M104" i="2"/>
  <c r="L104" i="2"/>
  <c r="AF102" i="2"/>
  <c r="M102" i="2"/>
  <c r="L102" i="2"/>
  <c r="AD101" i="2"/>
  <c r="AC101" i="2"/>
  <c r="AA101" i="2"/>
  <c r="Y101" i="2"/>
  <c r="AF100" i="2"/>
  <c r="M100" i="2"/>
  <c r="L100" i="2"/>
  <c r="AF98" i="2"/>
  <c r="M98" i="2"/>
  <c r="L98" i="2"/>
  <c r="AD99" i="2" s="1"/>
  <c r="AD97" i="2"/>
  <c r="AC97" i="2"/>
  <c r="AF96" i="2"/>
  <c r="M96" i="2"/>
  <c r="L96" i="2"/>
  <c r="AC95" i="2"/>
  <c r="AA95" i="2"/>
  <c r="Y95" i="2"/>
  <c r="AF94" i="2"/>
  <c r="M94" i="2"/>
  <c r="L94" i="2"/>
  <c r="AD95" i="2" s="1"/>
  <c r="AF92" i="2"/>
  <c r="M92" i="2"/>
  <c r="L92" i="2"/>
  <c r="AD93" i="2" s="1"/>
  <c r="AD91" i="2"/>
  <c r="AC91" i="2"/>
  <c r="AA91" i="2"/>
  <c r="Y91" i="2"/>
  <c r="AF90" i="2"/>
  <c r="M90" i="2"/>
  <c r="L90" i="2"/>
  <c r="AF88" i="2"/>
  <c r="M88" i="2"/>
  <c r="L88" i="2"/>
  <c r="AD89" i="2" s="1"/>
  <c r="AF86" i="2"/>
  <c r="M86" i="2"/>
  <c r="L86" i="2"/>
  <c r="Y87" i="2" s="1"/>
  <c r="AD85" i="2"/>
  <c r="AC85" i="2"/>
  <c r="AA85" i="2"/>
  <c r="Y85" i="2"/>
  <c r="AF84" i="2"/>
  <c r="M84" i="2"/>
  <c r="L84" i="2"/>
  <c r="AF82" i="2"/>
  <c r="M82" i="2"/>
  <c r="L82" i="2"/>
  <c r="AF80" i="2"/>
  <c r="M80" i="2"/>
  <c r="L80" i="2"/>
  <c r="AD79" i="2"/>
  <c r="AC79" i="2"/>
  <c r="AB79" i="2"/>
  <c r="AA79" i="2"/>
  <c r="AF78" i="2"/>
  <c r="M78" i="2"/>
  <c r="L78" i="2"/>
  <c r="AD77" i="2"/>
  <c r="AC77" i="2"/>
  <c r="AB77" i="2"/>
  <c r="AA77" i="2"/>
  <c r="Y77" i="2"/>
  <c r="AF76" i="2"/>
  <c r="M76" i="2"/>
  <c r="L76" i="2"/>
  <c r="AF74" i="2"/>
  <c r="M74" i="2"/>
  <c r="L74" i="2"/>
  <c r="AF72" i="2"/>
  <c r="M72" i="2"/>
  <c r="L72" i="2"/>
  <c r="AD71" i="2"/>
  <c r="AC71" i="2"/>
  <c r="AB71" i="2"/>
  <c r="AA71" i="2"/>
  <c r="AF70" i="2"/>
  <c r="M70" i="2"/>
  <c r="L70" i="2"/>
  <c r="AD69" i="2"/>
  <c r="AC69" i="2"/>
  <c r="AB69" i="2"/>
  <c r="AA69" i="2"/>
  <c r="Y69" i="2"/>
  <c r="AF68" i="2"/>
  <c r="L68" i="2"/>
  <c r="AE69" i="2" s="1"/>
  <c r="K68" i="2"/>
  <c r="AD67" i="2"/>
  <c r="AC67" i="2"/>
  <c r="AB67" i="2"/>
  <c r="AA67" i="2"/>
  <c r="Z67" i="2"/>
  <c r="Y67" i="2"/>
  <c r="AF66" i="2"/>
  <c r="L66" i="2"/>
  <c r="AE67" i="2" s="1"/>
  <c r="K66" i="2"/>
  <c r="AF64" i="2"/>
  <c r="L64" i="2"/>
  <c r="AC65" i="2" s="1"/>
  <c r="K64" i="2"/>
  <c r="I64" i="2"/>
  <c r="AE63" i="2"/>
  <c r="AD63" i="2"/>
  <c r="AE62" i="2"/>
  <c r="X62" i="2"/>
  <c r="L62" i="2"/>
  <c r="K62" i="2"/>
  <c r="AE61" i="2"/>
  <c r="AA61" i="2"/>
  <c r="Z61" i="2"/>
  <c r="X61" i="2"/>
  <c r="W61" i="2"/>
  <c r="AF60" i="2"/>
  <c r="L60" i="2"/>
  <c r="K60" i="2"/>
  <c r="AB59" i="2"/>
  <c r="AA59" i="2"/>
  <c r="Y59" i="2"/>
  <c r="X59" i="2"/>
  <c r="W59" i="2"/>
  <c r="AF58" i="2"/>
  <c r="L58" i="2"/>
  <c r="Z59" i="2" s="1"/>
  <c r="K58" i="2"/>
  <c r="AD57" i="2"/>
  <c r="AC57" i="2"/>
  <c r="AB57" i="2"/>
  <c r="AA57" i="2"/>
  <c r="Z57" i="2"/>
  <c r="Y57" i="2"/>
  <c r="X57" i="2"/>
  <c r="W57" i="2"/>
  <c r="V57" i="2"/>
  <c r="AF56" i="2"/>
  <c r="L56" i="2"/>
  <c r="AE57" i="2" s="1"/>
  <c r="K56" i="2"/>
  <c r="AF54" i="2"/>
  <c r="L54" i="2"/>
  <c r="Y55" i="2" s="1"/>
  <c r="K54" i="2"/>
  <c r="AE53" i="2"/>
  <c r="AF52" i="2"/>
  <c r="L52" i="2"/>
  <c r="AB53" i="2" s="1"/>
  <c r="AE51" i="2"/>
  <c r="AD51" i="2"/>
  <c r="AB51" i="2"/>
  <c r="X51" i="2"/>
  <c r="AF50" i="2"/>
  <c r="AE50" i="2"/>
  <c r="L50" i="2"/>
  <c r="AB49" i="2"/>
  <c r="X49" i="2"/>
  <c r="W49" i="2"/>
  <c r="U49" i="2"/>
  <c r="AF48" i="2"/>
  <c r="AE48" i="2"/>
  <c r="AE164" i="2" s="1"/>
  <c r="L48" i="2"/>
  <c r="AF46" i="2"/>
  <c r="L46" i="2"/>
  <c r="Z47" i="2" s="1"/>
  <c r="AD45" i="2"/>
  <c r="AC45" i="2"/>
  <c r="AB45" i="2"/>
  <c r="AA45" i="2"/>
  <c r="Z45" i="2"/>
  <c r="Y45" i="2"/>
  <c r="X45" i="2"/>
  <c r="W45" i="2"/>
  <c r="V45" i="2"/>
  <c r="U45" i="2"/>
  <c r="AF44" i="2"/>
  <c r="L44" i="2"/>
  <c r="AE45" i="2" s="1"/>
  <c r="K44" i="2"/>
  <c r="AF43" i="2"/>
  <c r="AF42" i="2"/>
  <c r="L42" i="2"/>
  <c r="K42" i="2"/>
  <c r="AE41" i="2"/>
  <c r="AD41" i="2"/>
  <c r="AC41" i="2"/>
  <c r="AB41" i="2"/>
  <c r="X41" i="2"/>
  <c r="W41" i="2"/>
  <c r="U41" i="2"/>
  <c r="AF40" i="2"/>
  <c r="L40" i="2"/>
  <c r="AF38" i="2"/>
  <c r="L38" i="2"/>
  <c r="AE39" i="2" s="1"/>
  <c r="K38" i="2"/>
  <c r="AE37" i="2"/>
  <c r="AD37" i="2"/>
  <c r="AC37" i="2"/>
  <c r="AB37" i="2"/>
  <c r="AA37" i="2"/>
  <c r="Z37" i="2"/>
  <c r="Y37" i="2"/>
  <c r="X37" i="2"/>
  <c r="AF37" i="2" s="1"/>
  <c r="W37" i="2"/>
  <c r="V37" i="2"/>
  <c r="AF36" i="2"/>
  <c r="L36" i="2"/>
  <c r="K36" i="2"/>
  <c r="I36" i="2"/>
  <c r="AA35" i="2"/>
  <c r="Z35" i="2"/>
  <c r="Y35" i="2"/>
  <c r="X35" i="2"/>
  <c r="AF34" i="2"/>
  <c r="M34" i="2"/>
  <c r="U35" i="2" s="1"/>
  <c r="L34" i="2"/>
  <c r="K34" i="2"/>
  <c r="I34" i="2"/>
  <c r="E34" i="2"/>
  <c r="AF32" i="2"/>
  <c r="M32" i="2"/>
  <c r="AD33" i="2" s="1"/>
  <c r="L32" i="2"/>
  <c r="AE33" i="2" s="1"/>
  <c r="AF30" i="2"/>
  <c r="M30" i="2"/>
  <c r="L30" i="2"/>
  <c r="Y31" i="2" s="1"/>
  <c r="K30" i="2"/>
  <c r="I30" i="2"/>
  <c r="AD29" i="2"/>
  <c r="AC29" i="2"/>
  <c r="AB29" i="2"/>
  <c r="AA29" i="2"/>
  <c r="Z29" i="2"/>
  <c r="Y29" i="2"/>
  <c r="X29" i="2"/>
  <c r="W29" i="2"/>
  <c r="V29" i="2"/>
  <c r="AF28" i="2"/>
  <c r="M28" i="2"/>
  <c r="L28" i="2"/>
  <c r="AE29" i="2" s="1"/>
  <c r="K28" i="2"/>
  <c r="AF26" i="2"/>
  <c r="M26" i="2"/>
  <c r="U27" i="2" s="1"/>
  <c r="L26" i="2"/>
  <c r="AD27" i="2" s="1"/>
  <c r="AF24" i="2"/>
  <c r="M24" i="2"/>
  <c r="L24" i="2"/>
  <c r="W25" i="2" s="1"/>
  <c r="K24" i="2"/>
  <c r="AF22" i="2"/>
  <c r="M22" i="2"/>
  <c r="AE23" i="2" s="1"/>
  <c r="L22" i="2"/>
  <c r="Y23" i="2" s="1"/>
  <c r="I22" i="2"/>
  <c r="AF20" i="2"/>
  <c r="M20" i="2"/>
  <c r="L20" i="2"/>
  <c r="X21" i="2" s="1"/>
  <c r="K20" i="2"/>
  <c r="AF18" i="2"/>
  <c r="M18" i="2"/>
  <c r="L18" i="2"/>
  <c r="AC19" i="2" s="1"/>
  <c r="K18" i="2"/>
  <c r="AF16" i="2"/>
  <c r="M16" i="2"/>
  <c r="Y17" i="2" s="1"/>
  <c r="L16" i="2"/>
  <c r="AD17" i="2" s="1"/>
  <c r="J16" i="2"/>
  <c r="K16" i="2" s="1"/>
  <c r="I16" i="2"/>
  <c r="AF14" i="2"/>
  <c r="M14" i="2"/>
  <c r="L14" i="2"/>
  <c r="K14" i="2"/>
  <c r="J14" i="2"/>
  <c r="I14" i="2"/>
  <c r="AE13" i="2"/>
  <c r="AA13" i="2"/>
  <c r="Z13" i="2"/>
  <c r="Y13" i="2"/>
  <c r="X13" i="2"/>
  <c r="W13" i="2"/>
  <c r="V13" i="2"/>
  <c r="U13" i="2"/>
  <c r="AF12" i="2"/>
  <c r="M12" i="2"/>
  <c r="AB13" i="2" s="1"/>
  <c r="L12" i="2"/>
  <c r="AD13" i="2" s="1"/>
  <c r="H12" i="2"/>
  <c r="J12" i="2" s="1"/>
  <c r="K12" i="2" s="1"/>
  <c r="AD11" i="2"/>
  <c r="AC11" i="2"/>
  <c r="AB11" i="2"/>
  <c r="AA11" i="2"/>
  <c r="Z11" i="2"/>
  <c r="AF10" i="2"/>
  <c r="M10" i="2"/>
  <c r="L10" i="2"/>
  <c r="AE11" i="2" s="1"/>
  <c r="H10" i="2"/>
  <c r="J10" i="2" s="1"/>
  <c r="K10" i="2" s="1"/>
  <c r="N275" i="1"/>
  <c r="O275" i="1" s="1"/>
  <c r="G275" i="1"/>
  <c r="O273" i="1"/>
  <c r="L273" i="1"/>
  <c r="O272" i="1"/>
  <c r="L272" i="1"/>
  <c r="N271" i="1"/>
  <c r="M271" i="1"/>
  <c r="K271" i="1"/>
  <c r="J271" i="1"/>
  <c r="I271" i="1"/>
  <c r="H271" i="1"/>
  <c r="G271" i="1"/>
  <c r="F271" i="1"/>
  <c r="N270" i="1"/>
  <c r="O270" i="1" s="1"/>
  <c r="G270" i="1"/>
  <c r="J270" i="1" s="1"/>
  <c r="N269" i="1"/>
  <c r="M268" i="1"/>
  <c r="K268" i="1"/>
  <c r="I268" i="1"/>
  <c r="H268" i="1"/>
  <c r="F268" i="1"/>
  <c r="N267" i="1"/>
  <c r="O267" i="1" s="1"/>
  <c r="J267" i="1"/>
  <c r="L267" i="1" s="1"/>
  <c r="N266" i="1"/>
  <c r="O266" i="1" s="1"/>
  <c r="J266" i="1"/>
  <c r="L266" i="1" s="1"/>
  <c r="N265" i="1"/>
  <c r="O265" i="1" s="1"/>
  <c r="J265" i="1"/>
  <c r="L265" i="1" s="1"/>
  <c r="N264" i="1"/>
  <c r="L264" i="1"/>
  <c r="N263" i="1"/>
  <c r="O263" i="1" s="1"/>
  <c r="K263" i="1"/>
  <c r="J263" i="1"/>
  <c r="L263" i="1" s="1"/>
  <c r="N262" i="1"/>
  <c r="O262" i="1" s="1"/>
  <c r="K262" i="1"/>
  <c r="K260" i="1" s="1"/>
  <c r="N261" i="1"/>
  <c r="O261" i="1" s="1"/>
  <c r="F261" i="1"/>
  <c r="F260" i="1" s="1"/>
  <c r="M260" i="1"/>
  <c r="J260" i="1"/>
  <c r="I260" i="1"/>
  <c r="H260" i="1"/>
  <c r="G260" i="1"/>
  <c r="O259" i="1"/>
  <c r="N259" i="1"/>
  <c r="K259" i="1"/>
  <c r="K257" i="1" s="1"/>
  <c r="J259" i="1"/>
  <c r="F258" i="1"/>
  <c r="F257" i="1" s="1"/>
  <c r="M257" i="1"/>
  <c r="I257" i="1"/>
  <c r="H257" i="1"/>
  <c r="G257" i="1"/>
  <c r="N256" i="1"/>
  <c r="O256" i="1" s="1"/>
  <c r="K256" i="1"/>
  <c r="N255" i="1"/>
  <c r="O255" i="1" s="1"/>
  <c r="F255" i="1"/>
  <c r="F254" i="1" s="1"/>
  <c r="M254" i="1"/>
  <c r="M246" i="1" s="1"/>
  <c r="J254" i="1"/>
  <c r="I254" i="1"/>
  <c r="I246" i="1" s="1"/>
  <c r="H254" i="1"/>
  <c r="G254" i="1"/>
  <c r="N253" i="1"/>
  <c r="O253" i="1" s="1"/>
  <c r="N252" i="1"/>
  <c r="O252" i="1" s="1"/>
  <c r="K252" i="1"/>
  <c r="J252" i="1"/>
  <c r="N251" i="1"/>
  <c r="O251" i="1" s="1"/>
  <c r="O250" i="1"/>
  <c r="F250" i="1"/>
  <c r="J250" i="1" s="1"/>
  <c r="L250" i="1" s="1"/>
  <c r="N249" i="1"/>
  <c r="O249" i="1" s="1"/>
  <c r="J249" i="1"/>
  <c r="L249" i="1" s="1"/>
  <c r="O248" i="1"/>
  <c r="N248" i="1"/>
  <c r="K248" i="1"/>
  <c r="J248" i="1"/>
  <c r="N247" i="1"/>
  <c r="F247" i="1"/>
  <c r="L247" i="1" s="1"/>
  <c r="G246" i="1"/>
  <c r="N245" i="1"/>
  <c r="O245" i="1" s="1"/>
  <c r="N244" i="1"/>
  <c r="O244" i="1" s="1"/>
  <c r="L244" i="1"/>
  <c r="N243" i="1"/>
  <c r="O243" i="1" s="1"/>
  <c r="O242" i="1"/>
  <c r="N241" i="1"/>
  <c r="O241" i="1" s="1"/>
  <c r="I241" i="1"/>
  <c r="L241" i="1" s="1"/>
  <c r="N240" i="1"/>
  <c r="O240" i="1" s="1"/>
  <c r="J240" i="1"/>
  <c r="N239" i="1"/>
  <c r="O239" i="1" s="1"/>
  <c r="L239" i="1"/>
  <c r="N238" i="1"/>
  <c r="O238" i="1" s="1"/>
  <c r="F238" i="1"/>
  <c r="L238" i="1" s="1"/>
  <c r="M237" i="1"/>
  <c r="H237" i="1"/>
  <c r="G237" i="1"/>
  <c r="N236" i="1"/>
  <c r="O236" i="1" s="1"/>
  <c r="K236" i="1"/>
  <c r="L236" i="1" s="1"/>
  <c r="N235" i="1"/>
  <c r="O235" i="1" s="1"/>
  <c r="K235" i="1"/>
  <c r="L235" i="1" s="1"/>
  <c r="N234" i="1"/>
  <c r="O234" i="1" s="1"/>
  <c r="K234" i="1"/>
  <c r="F234" i="1"/>
  <c r="F233" i="1" s="1"/>
  <c r="M233" i="1"/>
  <c r="J233" i="1"/>
  <c r="I233" i="1"/>
  <c r="H233" i="1"/>
  <c r="G233" i="1"/>
  <c r="N232" i="1"/>
  <c r="O232" i="1" s="1"/>
  <c r="I232" i="1"/>
  <c r="K231" i="1" s="1"/>
  <c r="N231" i="1"/>
  <c r="J231" i="1"/>
  <c r="J229" i="1" s="1"/>
  <c r="N230" i="1"/>
  <c r="O230" i="1" s="1"/>
  <c r="L230" i="1"/>
  <c r="M229" i="1"/>
  <c r="H229" i="1"/>
  <c r="G229" i="1"/>
  <c r="F229" i="1"/>
  <c r="N228" i="1"/>
  <c r="O228" i="1" s="1"/>
  <c r="I228" i="1"/>
  <c r="N227" i="1"/>
  <c r="O227" i="1" s="1"/>
  <c r="J227" i="1"/>
  <c r="J225" i="1" s="1"/>
  <c r="N226" i="1"/>
  <c r="L226" i="1"/>
  <c r="M225" i="1"/>
  <c r="H225" i="1"/>
  <c r="G225" i="1"/>
  <c r="F225" i="1"/>
  <c r="N224" i="1"/>
  <c r="O224" i="1" s="1"/>
  <c r="K224" i="1"/>
  <c r="L224" i="1" s="1"/>
  <c r="N223" i="1"/>
  <c r="F223" i="1"/>
  <c r="L223" i="1" s="1"/>
  <c r="M222" i="1"/>
  <c r="J222" i="1"/>
  <c r="I222" i="1"/>
  <c r="H222" i="1"/>
  <c r="G222" i="1"/>
  <c r="N221" i="1"/>
  <c r="O221" i="1" s="1"/>
  <c r="K221" i="1"/>
  <c r="K219" i="1" s="1"/>
  <c r="J221" i="1"/>
  <c r="J219" i="1" s="1"/>
  <c r="N220" i="1"/>
  <c r="N219" i="1" s="1"/>
  <c r="F220" i="1"/>
  <c r="F219" i="1" s="1"/>
  <c r="M219" i="1"/>
  <c r="I219" i="1"/>
  <c r="H219" i="1"/>
  <c r="G219" i="1"/>
  <c r="N218" i="1"/>
  <c r="O218" i="1" s="1"/>
  <c r="K218" i="1"/>
  <c r="L218" i="1" s="1"/>
  <c r="N216" i="1"/>
  <c r="O216" i="1" s="1"/>
  <c r="J216" i="1"/>
  <c r="L216" i="1" s="1"/>
  <c r="N215" i="1"/>
  <c r="O215" i="1" s="1"/>
  <c r="J215" i="1"/>
  <c r="L215" i="1" s="1"/>
  <c r="N214" i="1"/>
  <c r="O214" i="1" s="1"/>
  <c r="F214" i="1"/>
  <c r="N213" i="1"/>
  <c r="O213" i="1" s="1"/>
  <c r="F213" i="1"/>
  <c r="L213" i="1" s="1"/>
  <c r="N212" i="1"/>
  <c r="O212" i="1" s="1"/>
  <c r="K212" i="1"/>
  <c r="L212" i="1" s="1"/>
  <c r="N211" i="1"/>
  <c r="O211" i="1" s="1"/>
  <c r="I211" i="1"/>
  <c r="N210" i="1"/>
  <c r="O210" i="1" s="1"/>
  <c r="I210" i="1"/>
  <c r="I208" i="1" s="1"/>
  <c r="N209" i="1"/>
  <c r="O209" i="1" s="1"/>
  <c r="K209" i="1"/>
  <c r="L209" i="1" s="1"/>
  <c r="M208" i="1"/>
  <c r="H208" i="1"/>
  <c r="F208" i="1"/>
  <c r="N207" i="1"/>
  <c r="N206" i="1"/>
  <c r="O206" i="1" s="1"/>
  <c r="K206" i="1"/>
  <c r="M205" i="1"/>
  <c r="J205" i="1"/>
  <c r="I205" i="1"/>
  <c r="H205" i="1"/>
  <c r="G205" i="1"/>
  <c r="N204" i="1"/>
  <c r="O204" i="1" s="1"/>
  <c r="K204" i="1"/>
  <c r="L204" i="1" s="1"/>
  <c r="N203" i="1"/>
  <c r="O203" i="1" s="1"/>
  <c r="F203" i="1"/>
  <c r="L203" i="1" s="1"/>
  <c r="N202" i="1"/>
  <c r="O202" i="1" s="1"/>
  <c r="F202" i="1"/>
  <c r="L202" i="1" s="1"/>
  <c r="N201" i="1"/>
  <c r="O201" i="1" s="1"/>
  <c r="K201" i="1"/>
  <c r="K200" i="1" s="1"/>
  <c r="J201" i="1"/>
  <c r="F201" i="1"/>
  <c r="N200" i="1"/>
  <c r="J200" i="1"/>
  <c r="M199" i="1"/>
  <c r="I199" i="1"/>
  <c r="H199" i="1"/>
  <c r="G199" i="1"/>
  <c r="N197" i="1"/>
  <c r="O197" i="1" s="1"/>
  <c r="K197" i="1"/>
  <c r="L197" i="1" s="1"/>
  <c r="N196" i="1"/>
  <c r="O196" i="1" s="1"/>
  <c r="J196" i="1"/>
  <c r="L196" i="1" s="1"/>
  <c r="N195" i="1"/>
  <c r="O195" i="1" s="1"/>
  <c r="K195" i="1"/>
  <c r="J195" i="1"/>
  <c r="N194" i="1"/>
  <c r="O194" i="1" s="1"/>
  <c r="K194" i="1"/>
  <c r="L194" i="1" s="1"/>
  <c r="N193" i="1"/>
  <c r="O193" i="1" s="1"/>
  <c r="K193" i="1"/>
  <c r="L193" i="1" s="1"/>
  <c r="N192" i="1"/>
  <c r="O192" i="1" s="1"/>
  <c r="N191" i="1"/>
  <c r="O191" i="1" s="1"/>
  <c r="G191" i="1"/>
  <c r="J191" i="1" s="1"/>
  <c r="L191" i="1" s="1"/>
  <c r="N190" i="1"/>
  <c r="O190" i="1" s="1"/>
  <c r="J190" i="1"/>
  <c r="L190" i="1" s="1"/>
  <c r="N189" i="1"/>
  <c r="O189" i="1" s="1"/>
  <c r="K189" i="1"/>
  <c r="J189" i="1"/>
  <c r="N188" i="1"/>
  <c r="O188" i="1" s="1"/>
  <c r="O186" i="1" s="1"/>
  <c r="K188" i="1"/>
  <c r="J188" i="1"/>
  <c r="N187" i="1"/>
  <c r="O187" i="1" s="1"/>
  <c r="K187" i="1"/>
  <c r="J187" i="1"/>
  <c r="M186" i="1"/>
  <c r="M185" i="1" s="1"/>
  <c r="I186" i="1"/>
  <c r="I185" i="1" s="1"/>
  <c r="H186" i="1"/>
  <c r="G186" i="1"/>
  <c r="G185" i="1" s="1"/>
  <c r="F186" i="1"/>
  <c r="F185" i="1" s="1"/>
  <c r="H185" i="1"/>
  <c r="N184" i="1"/>
  <c r="O184" i="1" s="1"/>
  <c r="G184" i="1"/>
  <c r="F184" i="1"/>
  <c r="F166" i="1" s="1"/>
  <c r="N183" i="1"/>
  <c r="O183" i="1" s="1"/>
  <c r="H183" i="1"/>
  <c r="G183" i="1"/>
  <c r="O182" i="1"/>
  <c r="N182" i="1"/>
  <c r="H182" i="1"/>
  <c r="G182" i="1"/>
  <c r="N181" i="1"/>
  <c r="O181" i="1" s="1"/>
  <c r="N180" i="1"/>
  <c r="O180" i="1" s="1"/>
  <c r="H180" i="1"/>
  <c r="J180" i="1" s="1"/>
  <c r="N179" i="1"/>
  <c r="O179" i="1" s="1"/>
  <c r="H179" i="1"/>
  <c r="J179" i="1" s="1"/>
  <c r="L179" i="1" s="1"/>
  <c r="N178" i="1"/>
  <c r="O178" i="1" s="1"/>
  <c r="J178" i="1"/>
  <c r="G178" i="1"/>
  <c r="N177" i="1"/>
  <c r="O177" i="1" s="1"/>
  <c r="Q176" i="1"/>
  <c r="N176" i="1"/>
  <c r="O176" i="1" s="1"/>
  <c r="L176" i="1"/>
  <c r="N175" i="1"/>
  <c r="O175" i="1" s="1"/>
  <c r="K175" i="1"/>
  <c r="K172" i="1" s="1"/>
  <c r="J175" i="1"/>
  <c r="N174" i="1"/>
  <c r="O174" i="1" s="1"/>
  <c r="I174" i="1"/>
  <c r="N173" i="1"/>
  <c r="O173" i="1" s="1"/>
  <c r="I173" i="1"/>
  <c r="M172" i="1"/>
  <c r="M166" i="1" s="1"/>
  <c r="N171" i="1"/>
  <c r="O171" i="1" s="1"/>
  <c r="I171" i="1"/>
  <c r="N170" i="1"/>
  <c r="O170" i="1" s="1"/>
  <c r="N169" i="1"/>
  <c r="O169" i="1" s="1"/>
  <c r="J169" i="1"/>
  <c r="L169" i="1" s="1"/>
  <c r="N168" i="1"/>
  <c r="O168" i="1" s="1"/>
  <c r="K168" i="1"/>
  <c r="L168" i="1" s="1"/>
  <c r="N167" i="1"/>
  <c r="O167" i="1" s="1"/>
  <c r="L167" i="1"/>
  <c r="O165" i="1"/>
  <c r="G165" i="1"/>
  <c r="O164" i="1"/>
  <c r="J164" i="1"/>
  <c r="L164" i="1" s="1"/>
  <c r="N163" i="1"/>
  <c r="O163" i="1" s="1"/>
  <c r="J163" i="1"/>
  <c r="L163" i="1" s="1"/>
  <c r="N162" i="1"/>
  <c r="O162" i="1" s="1"/>
  <c r="N161" i="1"/>
  <c r="O161" i="1" s="1"/>
  <c r="N160" i="1"/>
  <c r="O160" i="1" s="1"/>
  <c r="N159" i="1"/>
  <c r="O159" i="1" s="1"/>
  <c r="N158" i="1"/>
  <c r="O158" i="1" s="1"/>
  <c r="J158" i="1"/>
  <c r="L158" i="1" s="1"/>
  <c r="N157" i="1"/>
  <c r="O157" i="1" s="1"/>
  <c r="L157" i="1"/>
  <c r="N156" i="1"/>
  <c r="O156" i="1" s="1"/>
  <c r="K156" i="1"/>
  <c r="K155" i="1" s="1"/>
  <c r="J156" i="1"/>
  <c r="M155" i="1"/>
  <c r="I155" i="1"/>
  <c r="G155" i="1"/>
  <c r="F155" i="1"/>
  <c r="F151" i="1" s="1"/>
  <c r="N154" i="1"/>
  <c r="O154" i="1" s="1"/>
  <c r="K154" i="1"/>
  <c r="J154" i="1"/>
  <c r="N153" i="1"/>
  <c r="O153" i="1" s="1"/>
  <c r="K153" i="1"/>
  <c r="L153" i="1" s="1"/>
  <c r="N152" i="1"/>
  <c r="O152" i="1" s="1"/>
  <c r="K152" i="1"/>
  <c r="N150" i="1"/>
  <c r="O150" i="1" s="1"/>
  <c r="F150" i="1"/>
  <c r="F149" i="1" s="1"/>
  <c r="M149" i="1"/>
  <c r="K149" i="1"/>
  <c r="J149" i="1"/>
  <c r="I149" i="1"/>
  <c r="H149" i="1"/>
  <c r="G149" i="1"/>
  <c r="N148" i="1"/>
  <c r="O148" i="1" s="1"/>
  <c r="F148" i="1"/>
  <c r="N147" i="1"/>
  <c r="K147" i="1"/>
  <c r="L147" i="1" s="1"/>
  <c r="N146" i="1"/>
  <c r="O146" i="1" s="1"/>
  <c r="O145" i="1" s="1"/>
  <c r="M145" i="1"/>
  <c r="M144" i="1" s="1"/>
  <c r="J145" i="1"/>
  <c r="J144" i="1" s="1"/>
  <c r="I145" i="1"/>
  <c r="I144" i="1" s="1"/>
  <c r="H145" i="1"/>
  <c r="H144" i="1" s="1"/>
  <c r="G145" i="1"/>
  <c r="G144" i="1" s="1"/>
  <c r="F145" i="1"/>
  <c r="N143" i="1"/>
  <c r="O143" i="1" s="1"/>
  <c r="K143" i="1"/>
  <c r="J143" i="1"/>
  <c r="N142" i="1"/>
  <c r="O142" i="1" s="1"/>
  <c r="L142" i="1"/>
  <c r="L141" i="1" s="1"/>
  <c r="M141" i="1"/>
  <c r="N141" i="1" s="1"/>
  <c r="O141" i="1" s="1"/>
  <c r="K141" i="1"/>
  <c r="J141" i="1"/>
  <c r="I141" i="1"/>
  <c r="H141" i="1"/>
  <c r="G141" i="1"/>
  <c r="F141" i="1"/>
  <c r="N140" i="1"/>
  <c r="O140" i="1" s="1"/>
  <c r="K140" i="1"/>
  <c r="J140" i="1"/>
  <c r="J131" i="1" s="1"/>
  <c r="N139" i="1"/>
  <c r="O139" i="1" s="1"/>
  <c r="K139" i="1"/>
  <c r="L139" i="1" s="1"/>
  <c r="N138" i="1"/>
  <c r="O138" i="1" s="1"/>
  <c r="K138" i="1"/>
  <c r="L138" i="1" s="1"/>
  <c r="N137" i="1"/>
  <c r="O137" i="1" s="1"/>
  <c r="K137" i="1"/>
  <c r="L137" i="1" s="1"/>
  <c r="N136" i="1"/>
  <c r="O136" i="1" s="1"/>
  <c r="K136" i="1"/>
  <c r="L136" i="1" s="1"/>
  <c r="N135" i="1"/>
  <c r="O135" i="1" s="1"/>
  <c r="K135" i="1"/>
  <c r="L135" i="1" s="1"/>
  <c r="N134" i="1"/>
  <c r="O134" i="1" s="1"/>
  <c r="K134" i="1"/>
  <c r="L134" i="1" s="1"/>
  <c r="N133" i="1"/>
  <c r="O133" i="1" s="1"/>
  <c r="K133" i="1"/>
  <c r="L133" i="1" s="1"/>
  <c r="N132" i="1"/>
  <c r="O132" i="1" s="1"/>
  <c r="K132" i="1"/>
  <c r="L132" i="1" s="1"/>
  <c r="M131" i="1"/>
  <c r="I131" i="1"/>
  <c r="H131" i="1"/>
  <c r="G131" i="1"/>
  <c r="F131" i="1"/>
  <c r="N124" i="1"/>
  <c r="O124" i="1" s="1"/>
  <c r="L124" i="1"/>
  <c r="N123" i="1"/>
  <c r="O123" i="1" s="1"/>
  <c r="L123" i="1"/>
  <c r="N122" i="1"/>
  <c r="O122" i="1" s="1"/>
  <c r="L122" i="1"/>
  <c r="N121" i="1"/>
  <c r="O121" i="1" s="1"/>
  <c r="L121" i="1"/>
  <c r="N120" i="1"/>
  <c r="O120" i="1" s="1"/>
  <c r="H120" i="1"/>
  <c r="H181" i="1" s="1"/>
  <c r="L181" i="1" s="1"/>
  <c r="N119" i="1"/>
  <c r="O119" i="1" s="1"/>
  <c r="H119" i="1"/>
  <c r="H251" i="1" s="1"/>
  <c r="J251" i="1" s="1"/>
  <c r="N118" i="1"/>
  <c r="O118" i="1" s="1"/>
  <c r="H118" i="1"/>
  <c r="H245" i="1" s="1"/>
  <c r="N117" i="1"/>
  <c r="O117" i="1" s="1"/>
  <c r="H117" i="1"/>
  <c r="L117" i="1" s="1"/>
  <c r="N116" i="1"/>
  <c r="O116" i="1" s="1"/>
  <c r="H116" i="1"/>
  <c r="N115" i="1"/>
  <c r="O115" i="1" s="1"/>
  <c r="H115" i="1"/>
  <c r="L115" i="1" s="1"/>
  <c r="N114" i="1"/>
  <c r="O114" i="1" s="1"/>
  <c r="H114" i="1"/>
  <c r="H161" i="1" s="1"/>
  <c r="N113" i="1"/>
  <c r="O113" i="1" s="1"/>
  <c r="H113" i="1"/>
  <c r="H160" i="1" s="1"/>
  <c r="M112" i="1"/>
  <c r="K112" i="1"/>
  <c r="J112" i="1"/>
  <c r="I112" i="1"/>
  <c r="G112" i="1"/>
  <c r="F112" i="1"/>
  <c r="N111" i="1"/>
  <c r="O111" i="1" s="1"/>
  <c r="N110" i="1"/>
  <c r="M109" i="1"/>
  <c r="K109" i="1"/>
  <c r="J109" i="1"/>
  <c r="I109" i="1"/>
  <c r="H109" i="1"/>
  <c r="G109" i="1"/>
  <c r="F109" i="1"/>
  <c r="N107" i="1"/>
  <c r="O107" i="1" s="1"/>
  <c r="I107" i="1"/>
  <c r="K107" i="1" s="1"/>
  <c r="N106" i="1"/>
  <c r="O106" i="1" s="1"/>
  <c r="I106" i="1"/>
  <c r="L106" i="1" s="1"/>
  <c r="N105" i="1"/>
  <c r="O105" i="1" s="1"/>
  <c r="K105" i="1"/>
  <c r="L105" i="1" s="1"/>
  <c r="N104" i="1"/>
  <c r="O104" i="1" s="1"/>
  <c r="K104" i="1"/>
  <c r="K103" i="1" s="1"/>
  <c r="M103" i="1"/>
  <c r="J103" i="1"/>
  <c r="H103" i="1"/>
  <c r="G103" i="1"/>
  <c r="F103" i="1"/>
  <c r="N102" i="1"/>
  <c r="O102" i="1" s="1"/>
  <c r="K102" i="1"/>
  <c r="L102" i="1" s="1"/>
  <c r="N101" i="1"/>
  <c r="O101" i="1" s="1"/>
  <c r="K101" i="1"/>
  <c r="L101" i="1" s="1"/>
  <c r="N100" i="1"/>
  <c r="O100" i="1" s="1"/>
  <c r="K100" i="1"/>
  <c r="L100" i="1" s="1"/>
  <c r="M99" i="1"/>
  <c r="J99" i="1"/>
  <c r="I99" i="1"/>
  <c r="H99" i="1"/>
  <c r="G99" i="1"/>
  <c r="F99" i="1"/>
  <c r="N98" i="1"/>
  <c r="N96" i="1" s="1"/>
  <c r="O96" i="1" s="1"/>
  <c r="K98" i="1"/>
  <c r="L98" i="1" s="1"/>
  <c r="O97" i="1"/>
  <c r="K97" i="1"/>
  <c r="M96" i="1"/>
  <c r="J96" i="1"/>
  <c r="I96" i="1"/>
  <c r="H96" i="1"/>
  <c r="G96" i="1"/>
  <c r="F96" i="1"/>
  <c r="N95" i="1"/>
  <c r="O95" i="1" s="1"/>
  <c r="K95" i="1"/>
  <c r="L95" i="1" s="1"/>
  <c r="N94" i="1"/>
  <c r="N93" i="1" s="1"/>
  <c r="K94" i="1"/>
  <c r="L94" i="1" s="1"/>
  <c r="M93" i="1"/>
  <c r="M92" i="1" s="1"/>
  <c r="J93" i="1"/>
  <c r="J92" i="1" s="1"/>
  <c r="I93" i="1"/>
  <c r="H93" i="1"/>
  <c r="G93" i="1"/>
  <c r="F93" i="1"/>
  <c r="N91" i="1"/>
  <c r="K91" i="1"/>
  <c r="L91" i="1" s="1"/>
  <c r="N90" i="1"/>
  <c r="O90" i="1" s="1"/>
  <c r="K90" i="1"/>
  <c r="L90" i="1" s="1"/>
  <c r="M89" i="1"/>
  <c r="J89" i="1"/>
  <c r="I89" i="1"/>
  <c r="H89" i="1"/>
  <c r="G89" i="1"/>
  <c r="F89" i="1"/>
  <c r="N88" i="1"/>
  <c r="O88" i="1" s="1"/>
  <c r="L88" i="1"/>
  <c r="N87" i="1"/>
  <c r="O87" i="1" s="1"/>
  <c r="L87" i="1"/>
  <c r="N86" i="1"/>
  <c r="O86" i="1" s="1"/>
  <c r="L86" i="1"/>
  <c r="N85" i="1"/>
  <c r="O85" i="1" s="1"/>
  <c r="L85" i="1"/>
  <c r="N84" i="1"/>
  <c r="O84" i="1" s="1"/>
  <c r="L84" i="1"/>
  <c r="N83" i="1"/>
  <c r="O83" i="1" s="1"/>
  <c r="L83" i="1"/>
  <c r="N82" i="1"/>
  <c r="O82" i="1" s="1"/>
  <c r="L82" i="1"/>
  <c r="N81" i="1"/>
  <c r="O81" i="1" s="1"/>
  <c r="L81" i="1"/>
  <c r="N80" i="1"/>
  <c r="O80" i="1" s="1"/>
  <c r="L80" i="1"/>
  <c r="N79" i="1"/>
  <c r="O79" i="1" s="1"/>
  <c r="L79" i="1"/>
  <c r="N78" i="1"/>
  <c r="O78" i="1" s="1"/>
  <c r="L78" i="1"/>
  <c r="N77" i="1"/>
  <c r="O77" i="1" s="1"/>
  <c r="L77" i="1"/>
  <c r="N76" i="1"/>
  <c r="O76" i="1" s="1"/>
  <c r="L76" i="1"/>
  <c r="N75" i="1"/>
  <c r="O75" i="1" s="1"/>
  <c r="K75" i="1"/>
  <c r="G75" i="1"/>
  <c r="G211" i="1" s="1"/>
  <c r="N74" i="1"/>
  <c r="O74" i="1" s="1"/>
  <c r="G74" i="1"/>
  <c r="G210" i="1" s="1"/>
  <c r="N73" i="1"/>
  <c r="O73" i="1" s="1"/>
  <c r="G73" i="1"/>
  <c r="L73" i="1" s="1"/>
  <c r="N72" i="1"/>
  <c r="O72" i="1" s="1"/>
  <c r="L72" i="1"/>
  <c r="N71" i="1"/>
  <c r="O71" i="1" s="1"/>
  <c r="L71" i="1"/>
  <c r="N70" i="1"/>
  <c r="O70" i="1" s="1"/>
  <c r="L70" i="1"/>
  <c r="N69" i="1"/>
  <c r="O69" i="1" s="1"/>
  <c r="G69" i="1"/>
  <c r="G170" i="1" s="1"/>
  <c r="N68" i="1"/>
  <c r="O68" i="1" s="1"/>
  <c r="F68" i="1"/>
  <c r="F207" i="1" s="1"/>
  <c r="F205" i="1" s="1"/>
  <c r="M67" i="1"/>
  <c r="K67" i="1"/>
  <c r="J67" i="1"/>
  <c r="I67" i="1"/>
  <c r="H67" i="1"/>
  <c r="N66" i="1"/>
  <c r="O66" i="1" s="1"/>
  <c r="F66" i="1"/>
  <c r="L66" i="1" s="1"/>
  <c r="N65" i="1"/>
  <c r="O65" i="1" s="1"/>
  <c r="L65" i="1"/>
  <c r="N64" i="1"/>
  <c r="O64" i="1" s="1"/>
  <c r="L64" i="1"/>
  <c r="N63" i="1"/>
  <c r="O63" i="1" s="1"/>
  <c r="L63" i="1"/>
  <c r="N62" i="1"/>
  <c r="O62" i="1" s="1"/>
  <c r="L62" i="1"/>
  <c r="N60" i="1"/>
  <c r="O60" i="1" s="1"/>
  <c r="L60" i="1"/>
  <c r="N59" i="1"/>
  <c r="O59" i="1" s="1"/>
  <c r="L59" i="1"/>
  <c r="O58" i="1"/>
  <c r="F58" i="1"/>
  <c r="F242" i="1" s="1"/>
  <c r="F237" i="1" s="1"/>
  <c r="O57" i="1"/>
  <c r="L57" i="1"/>
  <c r="N56" i="1"/>
  <c r="O56" i="1" s="1"/>
  <c r="L56" i="1"/>
  <c r="N55" i="1"/>
  <c r="O55" i="1" s="1"/>
  <c r="L55" i="1"/>
  <c r="N54" i="1"/>
  <c r="O54" i="1" s="1"/>
  <c r="L54" i="1"/>
  <c r="N53" i="1"/>
  <c r="O53" i="1" s="1"/>
  <c r="F53" i="1"/>
  <c r="L53" i="1" s="1"/>
  <c r="M52" i="1"/>
  <c r="K52" i="1"/>
  <c r="J52" i="1"/>
  <c r="I52" i="1"/>
  <c r="H52" i="1"/>
  <c r="G52" i="1"/>
  <c r="O51" i="1"/>
  <c r="O50" i="1"/>
  <c r="N49" i="1"/>
  <c r="M49" i="1"/>
  <c r="M45" i="1" s="1"/>
  <c r="L49" i="1"/>
  <c r="K49" i="1"/>
  <c r="J49" i="1"/>
  <c r="I49" i="1"/>
  <c r="H49" i="1"/>
  <c r="G49" i="1"/>
  <c r="F49" i="1"/>
  <c r="N48" i="1"/>
  <c r="O48" i="1" s="1"/>
  <c r="F48" i="1"/>
  <c r="L48" i="1" s="1"/>
  <c r="N47" i="1"/>
  <c r="O47" i="1" s="1"/>
  <c r="L47" i="1"/>
  <c r="O46" i="1"/>
  <c r="L46" i="1"/>
  <c r="N43" i="1"/>
  <c r="O43" i="1" s="1"/>
  <c r="K43" i="1"/>
  <c r="L43" i="1" s="1"/>
  <c r="N42" i="1"/>
  <c r="O42" i="1" s="1"/>
  <c r="K42" i="1"/>
  <c r="L42" i="1" s="1"/>
  <c r="N41" i="1"/>
  <c r="O41" i="1" s="1"/>
  <c r="L41" i="1"/>
  <c r="N40" i="1"/>
  <c r="N39" i="1" s="1"/>
  <c r="L40" i="1"/>
  <c r="M39" i="1"/>
  <c r="K39" i="1"/>
  <c r="J39" i="1"/>
  <c r="I39" i="1"/>
  <c r="H39" i="1"/>
  <c r="G39" i="1"/>
  <c r="F39" i="1"/>
  <c r="N38" i="1"/>
  <c r="O38" i="1" s="1"/>
  <c r="L38" i="1"/>
  <c r="N37" i="1"/>
  <c r="O37" i="1" s="1"/>
  <c r="L37" i="1"/>
  <c r="L36" i="1" s="1"/>
  <c r="N36" i="1"/>
  <c r="M36" i="1"/>
  <c r="K36" i="1"/>
  <c r="J36" i="1"/>
  <c r="I36" i="1"/>
  <c r="H36" i="1"/>
  <c r="G36" i="1"/>
  <c r="F36" i="1"/>
  <c r="N35" i="1"/>
  <c r="O35" i="1" s="1"/>
  <c r="L35" i="1"/>
  <c r="N34" i="1"/>
  <c r="O34" i="1" s="1"/>
  <c r="K34" i="1"/>
  <c r="L34" i="1" s="1"/>
  <c r="N33" i="1"/>
  <c r="O33" i="1" s="1"/>
  <c r="L33" i="1"/>
  <c r="N32" i="1"/>
  <c r="O32" i="1" s="1"/>
  <c r="L32" i="1"/>
  <c r="N31" i="1"/>
  <c r="O31" i="1" s="1"/>
  <c r="L31" i="1"/>
  <c r="N30" i="1"/>
  <c r="O30" i="1" s="1"/>
  <c r="L30" i="1"/>
  <c r="N29" i="1"/>
  <c r="L29" i="1"/>
  <c r="M28" i="1"/>
  <c r="M23" i="1" s="1"/>
  <c r="J28" i="1"/>
  <c r="I28" i="1"/>
  <c r="H28" i="1"/>
  <c r="G28" i="1"/>
  <c r="F28" i="1"/>
  <c r="N27" i="1"/>
  <c r="O27" i="1" s="1"/>
  <c r="L27" i="1"/>
  <c r="N26" i="1"/>
  <c r="O26" i="1" s="1"/>
  <c r="L26" i="1"/>
  <c r="N25" i="1"/>
  <c r="O25" i="1" s="1"/>
  <c r="L25" i="1"/>
  <c r="K24" i="1"/>
  <c r="J24" i="1"/>
  <c r="I24" i="1"/>
  <c r="I23" i="1" s="1"/>
  <c r="H24" i="1"/>
  <c r="G24" i="1"/>
  <c r="F24" i="1"/>
  <c r="N22" i="1"/>
  <c r="O22" i="1" s="1"/>
  <c r="L22" i="1"/>
  <c r="N21" i="1"/>
  <c r="O21" i="1" s="1"/>
  <c r="L21" i="1"/>
  <c r="M20" i="1"/>
  <c r="K20" i="1"/>
  <c r="J20" i="1"/>
  <c r="I20" i="1"/>
  <c r="H20" i="1"/>
  <c r="G20" i="1"/>
  <c r="F20" i="1"/>
  <c r="N19" i="1"/>
  <c r="K19" i="1"/>
  <c r="N18" i="1"/>
  <c r="O18" i="1" s="1"/>
  <c r="K18" i="1"/>
  <c r="L18" i="1" s="1"/>
  <c r="M17" i="1"/>
  <c r="J17" i="1"/>
  <c r="I17" i="1"/>
  <c r="H17" i="1"/>
  <c r="G17" i="1"/>
  <c r="F17" i="1"/>
  <c r="N16" i="1"/>
  <c r="K16" i="1"/>
  <c r="L16" i="1" s="1"/>
  <c r="N15" i="1"/>
  <c r="O15" i="1" s="1"/>
  <c r="K15" i="1"/>
  <c r="L15" i="1" s="1"/>
  <c r="M14" i="1"/>
  <c r="J14" i="1"/>
  <c r="I14" i="1"/>
  <c r="H14" i="1"/>
  <c r="G14" i="1"/>
  <c r="F14" i="1"/>
  <c r="N13" i="1"/>
  <c r="O13" i="1" s="1"/>
  <c r="K13" i="1"/>
  <c r="N12" i="1"/>
  <c r="K12" i="1"/>
  <c r="L12" i="1" s="1"/>
  <c r="M11" i="1"/>
  <c r="J11" i="1"/>
  <c r="I11" i="1"/>
  <c r="H11" i="1"/>
  <c r="G11" i="1"/>
  <c r="F11" i="1"/>
  <c r="N9" i="1"/>
  <c r="O9" i="1" s="1"/>
  <c r="K9" i="1"/>
  <c r="L9" i="1" s="1"/>
  <c r="N8" i="1"/>
  <c r="O8" i="1" s="1"/>
  <c r="K8" i="1"/>
  <c r="L8" i="1" s="1"/>
  <c r="M7" i="1"/>
  <c r="J7" i="1"/>
  <c r="I7" i="1"/>
  <c r="H7" i="1"/>
  <c r="G7" i="1"/>
  <c r="F7" i="1"/>
  <c r="I237" i="1" l="1"/>
  <c r="L156" i="1"/>
  <c r="L187" i="1"/>
  <c r="AA172" i="2"/>
  <c r="AC172" i="2"/>
  <c r="Z161" i="2"/>
  <c r="AE15" i="2"/>
  <c r="AE165" i="2" s="1"/>
  <c r="X15" i="2"/>
  <c r="W15" i="2"/>
  <c r="V15" i="2"/>
  <c r="AE83" i="2"/>
  <c r="AB83" i="2"/>
  <c r="Z83" i="2"/>
  <c r="X83" i="2"/>
  <c r="AE109" i="2"/>
  <c r="AB109" i="2"/>
  <c r="Z109" i="2"/>
  <c r="X109" i="2"/>
  <c r="AE75" i="2"/>
  <c r="Z75" i="2"/>
  <c r="X75" i="2"/>
  <c r="AE123" i="2"/>
  <c r="AB123" i="2"/>
  <c r="Z123" i="2"/>
  <c r="X123" i="2"/>
  <c r="Z145" i="2"/>
  <c r="AE113" i="2"/>
  <c r="AB113" i="2"/>
  <c r="Z113" i="2"/>
  <c r="X113" i="2"/>
  <c r="U39" i="2"/>
  <c r="Z33" i="2"/>
  <c r="Y83" i="2"/>
  <c r="AE103" i="2"/>
  <c r="AB103" i="2"/>
  <c r="Z103" i="2"/>
  <c r="X103" i="2"/>
  <c r="U23" i="2"/>
  <c r="AF57" i="2"/>
  <c r="AA83" i="2"/>
  <c r="Z15" i="2"/>
  <c r="Z203" i="2" s="1"/>
  <c r="V17" i="2"/>
  <c r="W19" i="2"/>
  <c r="V23" i="2"/>
  <c r="Z27" i="2"/>
  <c r="AF29" i="2"/>
  <c r="W31" i="2"/>
  <c r="AB35" i="2"/>
  <c r="Y39" i="2"/>
  <c r="W47" i="2"/>
  <c r="AD49" i="2"/>
  <c r="AC63" i="2"/>
  <c r="AA63" i="2"/>
  <c r="Z63" i="2"/>
  <c r="Y63" i="2"/>
  <c r="AA75" i="2"/>
  <c r="AC83" i="2"/>
  <c r="AC89" i="2"/>
  <c r="AA99" i="2"/>
  <c r="AE107" i="2"/>
  <c r="AB107" i="2"/>
  <c r="Z107" i="2"/>
  <c r="X107" i="2"/>
  <c r="AC109" i="2"/>
  <c r="Y113" i="2"/>
  <c r="AA123" i="2"/>
  <c r="AA139" i="2"/>
  <c r="AE143" i="2"/>
  <c r="Z143" i="2"/>
  <c r="AF158" i="2"/>
  <c r="AA161" i="2"/>
  <c r="AC181" i="2"/>
  <c r="AC190" i="2" s="1"/>
  <c r="AC204" i="2" s="1"/>
  <c r="AC21" i="2"/>
  <c r="V21" i="2"/>
  <c r="U21" i="2"/>
  <c r="U25" i="2"/>
  <c r="Z25" i="2"/>
  <c r="Y25" i="2"/>
  <c r="X25" i="2"/>
  <c r="AC135" i="2"/>
  <c r="AB135" i="2"/>
  <c r="Y135" i="2"/>
  <c r="AE135" i="2"/>
  <c r="Y33" i="2"/>
  <c r="AC55" i="2"/>
  <c r="X55" i="2"/>
  <c r="V55" i="2"/>
  <c r="U55" i="2"/>
  <c r="U15" i="2"/>
  <c r="Y89" i="2"/>
  <c r="W21" i="2"/>
  <c r="W55" i="2"/>
  <c r="AE73" i="2"/>
  <c r="Z73" i="2"/>
  <c r="X73" i="2"/>
  <c r="AE81" i="2"/>
  <c r="AB81" i="2"/>
  <c r="Z81" i="2"/>
  <c r="X81" i="2"/>
  <c r="AA109" i="2"/>
  <c r="Y145" i="2"/>
  <c r="Y11" i="2"/>
  <c r="X11" i="2"/>
  <c r="AA15" i="2"/>
  <c r="W17" i="2"/>
  <c r="AA19" i="2"/>
  <c r="Y21" i="2"/>
  <c r="AF21" i="2" s="1"/>
  <c r="W23" i="2"/>
  <c r="AA25" i="2"/>
  <c r="AA27" i="2"/>
  <c r="AC35" i="2"/>
  <c r="AF35" i="2" s="1"/>
  <c r="Z39" i="2"/>
  <c r="AF45" i="2"/>
  <c r="X47" i="2"/>
  <c r="AE49" i="2"/>
  <c r="AE162" i="2" s="1"/>
  <c r="AE192" i="2" s="1"/>
  <c r="U53" i="2"/>
  <c r="Z55" i="2"/>
  <c r="AF62" i="2"/>
  <c r="X164" i="2"/>
  <c r="Y65" i="2"/>
  <c r="AB75" i="2"/>
  <c r="AD83" i="2"/>
  <c r="AE97" i="2"/>
  <c r="AB97" i="2"/>
  <c r="Z97" i="2"/>
  <c r="X97" i="2"/>
  <c r="AC99" i="2"/>
  <c r="Y103" i="2"/>
  <c r="AD109" i="2"/>
  <c r="AA113" i="2"/>
  <c r="AE121" i="2"/>
  <c r="AB121" i="2"/>
  <c r="Z121" i="2"/>
  <c r="X121" i="2"/>
  <c r="AC123" i="2"/>
  <c r="Y127" i="2"/>
  <c r="AD135" i="2"/>
  <c r="AD161" i="2"/>
  <c r="AB172" i="2"/>
  <c r="AF156" i="2"/>
  <c r="X31" i="2"/>
  <c r="AC31" i="2"/>
  <c r="AB31" i="2"/>
  <c r="AA31" i="2"/>
  <c r="AC139" i="2"/>
  <c r="AB139" i="2"/>
  <c r="Y139" i="2"/>
  <c r="X139" i="2"/>
  <c r="AE139" i="2"/>
  <c r="Y15" i="2"/>
  <c r="V25" i="2"/>
  <c r="W39" i="2"/>
  <c r="Y99" i="2"/>
  <c r="Y123" i="2"/>
  <c r="AB15" i="2"/>
  <c r="AB162" i="2" s="1"/>
  <c r="AB192" i="2" s="1"/>
  <c r="AB193" i="2" s="1"/>
  <c r="X17" i="2"/>
  <c r="AB19" i="2"/>
  <c r="Z21" i="2"/>
  <c r="X23" i="2"/>
  <c r="AB25" i="2"/>
  <c r="AB27" i="2"/>
  <c r="Z31" i="2"/>
  <c r="AE35" i="2"/>
  <c r="AD39" i="2"/>
  <c r="V53" i="2"/>
  <c r="AA55" i="2"/>
  <c r="AA65" i="2"/>
  <c r="AE71" i="2"/>
  <c r="Z71" i="2"/>
  <c r="X71" i="2"/>
  <c r="Y73" i="2"/>
  <c r="AC75" i="2"/>
  <c r="AE79" i="2"/>
  <c r="Z79" i="2"/>
  <c r="X79" i="2"/>
  <c r="Y81" i="2"/>
  <c r="Y93" i="2"/>
  <c r="AA103" i="2"/>
  <c r="AE111" i="2"/>
  <c r="AB111" i="2"/>
  <c r="Z111" i="2"/>
  <c r="X111" i="2"/>
  <c r="AC113" i="2"/>
  <c r="Y117" i="2"/>
  <c r="AD123" i="2"/>
  <c r="AA127" i="2"/>
  <c r="AC133" i="2"/>
  <c r="AE168" i="2"/>
  <c r="AE172" i="2" s="1"/>
  <c r="AF132" i="2"/>
  <c r="AC141" i="2"/>
  <c r="AF144" i="2"/>
  <c r="Y47" i="2"/>
  <c r="AD47" i="2"/>
  <c r="AC47" i="2"/>
  <c r="AB47" i="2"/>
  <c r="I10" i="2"/>
  <c r="V19" i="2"/>
  <c r="V47" i="2"/>
  <c r="AE87" i="2"/>
  <c r="AB87" i="2"/>
  <c r="Z87" i="2"/>
  <c r="X87" i="2"/>
  <c r="Z139" i="2"/>
  <c r="I12" i="2"/>
  <c r="AC15" i="2"/>
  <c r="Z17" i="2"/>
  <c r="AA21" i="2"/>
  <c r="Z23" i="2"/>
  <c r="AC25" i="2"/>
  <c r="AC27" i="2"/>
  <c r="AD31" i="2"/>
  <c r="AA47" i="2"/>
  <c r="AC51" i="2"/>
  <c r="AA51" i="2"/>
  <c r="Z51" i="2"/>
  <c r="Y51" i="2"/>
  <c r="Z53" i="2"/>
  <c r="AB55" i="2"/>
  <c r="W63" i="2"/>
  <c r="AB65" i="2"/>
  <c r="AA73" i="2"/>
  <c r="AA169" i="2" s="1"/>
  <c r="AD75" i="2"/>
  <c r="AA81" i="2"/>
  <c r="AE85" i="2"/>
  <c r="AB85" i="2"/>
  <c r="Z85" i="2"/>
  <c r="X85" i="2"/>
  <c r="AA87" i="2"/>
  <c r="AE91" i="2"/>
  <c r="AB91" i="2"/>
  <c r="Z91" i="2"/>
  <c r="X91" i="2"/>
  <c r="AA93" i="2"/>
  <c r="AE101" i="2"/>
  <c r="AB101" i="2"/>
  <c r="Z101" i="2"/>
  <c r="X101" i="2"/>
  <c r="AC103" i="2"/>
  <c r="Y107" i="2"/>
  <c r="AD113" i="2"/>
  <c r="AA117" i="2"/>
  <c r="AE125" i="2"/>
  <c r="AB125" i="2"/>
  <c r="Z125" i="2"/>
  <c r="X125" i="2"/>
  <c r="AC127" i="2"/>
  <c r="X133" i="2"/>
  <c r="AC137" i="2"/>
  <c r="AB137" i="2"/>
  <c r="Y137" i="2"/>
  <c r="X137" i="2"/>
  <c r="AE137" i="2"/>
  <c r="Y141" i="2"/>
  <c r="AE141" i="2"/>
  <c r="AB141" i="2"/>
  <c r="AA141" i="2"/>
  <c r="AC161" i="2"/>
  <c r="AB161" i="2"/>
  <c r="Y161" i="2"/>
  <c r="AE161" i="2"/>
  <c r="X39" i="2"/>
  <c r="AC39" i="2"/>
  <c r="AB39" i="2"/>
  <c r="AA39" i="2"/>
  <c r="U19" i="2"/>
  <c r="Z19" i="2"/>
  <c r="Z165" i="2" s="1"/>
  <c r="Y19" i="2"/>
  <c r="X19" i="2"/>
  <c r="V39" i="2"/>
  <c r="Y27" i="2"/>
  <c r="U11" i="2"/>
  <c r="AD15" i="2"/>
  <c r="AD203" i="2" s="1"/>
  <c r="AA17" i="2"/>
  <c r="AD19" i="2"/>
  <c r="AB21" i="2"/>
  <c r="AA23" i="2"/>
  <c r="AD25" i="2"/>
  <c r="AE27" i="2"/>
  <c r="AE31" i="2"/>
  <c r="AE47" i="2"/>
  <c r="AD55" i="2"/>
  <c r="Y61" i="2"/>
  <c r="AD61" i="2"/>
  <c r="AC61" i="2"/>
  <c r="AB61" i="2"/>
  <c r="AF61" i="2" s="1"/>
  <c r="X63" i="2"/>
  <c r="AB73" i="2"/>
  <c r="AB169" i="2" s="1"/>
  <c r="AC81" i="2"/>
  <c r="AC87" i="2"/>
  <c r="AC93" i="2"/>
  <c r="Y97" i="2"/>
  <c r="AD103" i="2"/>
  <c r="AA107" i="2"/>
  <c r="AE115" i="2"/>
  <c r="AB115" i="2"/>
  <c r="Z115" i="2"/>
  <c r="X115" i="2"/>
  <c r="AF115" i="2" s="1"/>
  <c r="Y121" i="2"/>
  <c r="Z133" i="2"/>
  <c r="AF140" i="2"/>
  <c r="Z151" i="2"/>
  <c r="Y153" i="2"/>
  <c r="AA159" i="2"/>
  <c r="AE89" i="2"/>
  <c r="AB89" i="2"/>
  <c r="Z89" i="2"/>
  <c r="X89" i="2"/>
  <c r="X27" i="2"/>
  <c r="Y109" i="2"/>
  <c r="AE127" i="2"/>
  <c r="AB127" i="2"/>
  <c r="Z127" i="2"/>
  <c r="X127" i="2"/>
  <c r="U17" i="2"/>
  <c r="AA53" i="2"/>
  <c r="Y53" i="2"/>
  <c r="X53" i="2"/>
  <c r="AF53" i="2" s="1"/>
  <c r="W53" i="2"/>
  <c r="AE65" i="2"/>
  <c r="Z65" i="2"/>
  <c r="X65" i="2"/>
  <c r="W65" i="2"/>
  <c r="V65" i="2"/>
  <c r="AA89" i="2"/>
  <c r="AE117" i="2"/>
  <c r="AB117" i="2"/>
  <c r="Z117" i="2"/>
  <c r="X117" i="2"/>
  <c r="Z135" i="2"/>
  <c r="V11" i="2"/>
  <c r="AE17" i="2"/>
  <c r="AE19" i="2"/>
  <c r="AD21" i="2"/>
  <c r="AE25" i="2"/>
  <c r="AE203" i="2" s="1"/>
  <c r="AD35" i="2"/>
  <c r="V41" i="2"/>
  <c r="AA41" i="2"/>
  <c r="Z41" i="2"/>
  <c r="Y41" i="2"/>
  <c r="AF41" i="2" s="1"/>
  <c r="V49" i="2"/>
  <c r="AC49" i="2"/>
  <c r="AA49" i="2"/>
  <c r="Z49" i="2"/>
  <c r="Y49" i="2"/>
  <c r="AF49" i="2" s="1"/>
  <c r="AC53" i="2"/>
  <c r="AE55" i="2"/>
  <c r="AB63" i="2"/>
  <c r="AD65" i="2"/>
  <c r="Y71" i="2"/>
  <c r="AC73" i="2"/>
  <c r="AC169" i="2" s="1"/>
  <c r="AE77" i="2"/>
  <c r="Z77" i="2"/>
  <c r="X77" i="2"/>
  <c r="AF77" i="2" s="1"/>
  <c r="Y79" i="2"/>
  <c r="AD81" i="2"/>
  <c r="AD87" i="2"/>
  <c r="AA97" i="2"/>
  <c r="AE105" i="2"/>
  <c r="AB105" i="2"/>
  <c r="Z105" i="2"/>
  <c r="X105" i="2"/>
  <c r="AC107" i="2"/>
  <c r="Y111" i="2"/>
  <c r="AD117" i="2"/>
  <c r="AA121" i="2"/>
  <c r="AE129" i="2"/>
  <c r="AD129" i="2"/>
  <c r="AA129" i="2"/>
  <c r="Y129" i="2"/>
  <c r="AF129" i="2" s="1"/>
  <c r="AA133" i="2"/>
  <c r="Z147" i="2"/>
  <c r="Y149" i="2"/>
  <c r="AD151" i="2"/>
  <c r="AB153" i="2"/>
  <c r="AC157" i="2"/>
  <c r="AB157" i="2"/>
  <c r="Y157" i="2"/>
  <c r="AE157" i="2"/>
  <c r="AE159" i="2"/>
  <c r="AD159" i="2"/>
  <c r="AC159" i="2"/>
  <c r="Z159" i="2"/>
  <c r="Y159" i="2"/>
  <c r="AF159" i="2" s="1"/>
  <c r="AE160" i="2"/>
  <c r="AE99" i="2"/>
  <c r="AB99" i="2"/>
  <c r="Z99" i="2"/>
  <c r="X99" i="2"/>
  <c r="X181" i="2"/>
  <c r="AE181" i="2"/>
  <c r="AE190" i="2" s="1"/>
  <c r="AE204" i="2" s="1"/>
  <c r="AD181" i="2"/>
  <c r="AD190" i="2" s="1"/>
  <c r="AD204" i="2" s="1"/>
  <c r="AB181" i="2"/>
  <c r="AB190" i="2" s="1"/>
  <c r="AB204" i="2" s="1"/>
  <c r="AA181" i="2"/>
  <c r="AA190" i="2" s="1"/>
  <c r="AA204" i="2" s="1"/>
  <c r="Z181" i="2"/>
  <c r="Z190" i="2" s="1"/>
  <c r="Z204" i="2" s="1"/>
  <c r="U47" i="2"/>
  <c r="X135" i="2"/>
  <c r="Y75" i="2"/>
  <c r="AE93" i="2"/>
  <c r="AB93" i="2"/>
  <c r="Z93" i="2"/>
  <c r="X93" i="2"/>
  <c r="AF93" i="2" s="1"/>
  <c r="W11" i="2"/>
  <c r="AE21" i="2"/>
  <c r="X33" i="2"/>
  <c r="AC33" i="2"/>
  <c r="AB33" i="2"/>
  <c r="AA33" i="2"/>
  <c r="AD53" i="2"/>
  <c r="AD73" i="2"/>
  <c r="AD169" i="2" s="1"/>
  <c r="AE95" i="2"/>
  <c r="AB95" i="2"/>
  <c r="Z95" i="2"/>
  <c r="X95" i="2"/>
  <c r="AE119" i="2"/>
  <c r="AB119" i="2"/>
  <c r="Z119" i="2"/>
  <c r="X119" i="2"/>
  <c r="AD147" i="2"/>
  <c r="AB149" i="2"/>
  <c r="AF160" i="2"/>
  <c r="R168" i="2"/>
  <c r="R173" i="2"/>
  <c r="AB17" i="2"/>
  <c r="AB23" i="2"/>
  <c r="AC59" i="2"/>
  <c r="AF59" i="2" s="1"/>
  <c r="AE133" i="2"/>
  <c r="AA145" i="2"/>
  <c r="Y155" i="2"/>
  <c r="AF155" i="2" s="1"/>
  <c r="V172" i="2"/>
  <c r="AC13" i="2"/>
  <c r="AC203" i="2" s="1"/>
  <c r="AC17" i="2"/>
  <c r="AC23" i="2"/>
  <c r="AC165" i="2" s="1"/>
  <c r="V27" i="2"/>
  <c r="V35" i="2"/>
  <c r="AD59" i="2"/>
  <c r="AB145" i="2"/>
  <c r="AD149" i="2"/>
  <c r="AD153" i="2"/>
  <c r="Z155" i="2"/>
  <c r="AD23" i="2"/>
  <c r="AD162" i="2" s="1"/>
  <c r="AD192" i="2" s="1"/>
  <c r="AD193" i="2" s="1"/>
  <c r="W27" i="2"/>
  <c r="W35" i="2"/>
  <c r="AE59" i="2"/>
  <c r="X67" i="2"/>
  <c r="AF67" i="2" s="1"/>
  <c r="X69" i="2"/>
  <c r="AF69" i="2" s="1"/>
  <c r="AC145" i="2"/>
  <c r="Y147" i="2"/>
  <c r="AE149" i="2"/>
  <c r="Y151" i="2"/>
  <c r="AE153" i="2"/>
  <c r="AA155" i="2"/>
  <c r="Z69" i="2"/>
  <c r="Y131" i="2"/>
  <c r="AF131" i="2" s="1"/>
  <c r="Y143" i="2"/>
  <c r="AE145" i="2"/>
  <c r="AA147" i="2"/>
  <c r="AB151" i="2"/>
  <c r="AD155" i="2"/>
  <c r="AA131" i="2"/>
  <c r="Y133" i="2"/>
  <c r="AA143" i="2"/>
  <c r="Z149" i="2"/>
  <c r="Z153" i="2"/>
  <c r="L143" i="1"/>
  <c r="L175" i="1"/>
  <c r="K28" i="1"/>
  <c r="N149" i="1"/>
  <c r="O149" i="1" s="1"/>
  <c r="L195" i="1"/>
  <c r="O93" i="1"/>
  <c r="L201" i="1"/>
  <c r="M44" i="1"/>
  <c r="N205" i="1"/>
  <c r="O205" i="1" s="1"/>
  <c r="L258" i="1"/>
  <c r="N260" i="1"/>
  <c r="O260" i="1" s="1"/>
  <c r="K23" i="1"/>
  <c r="K3" i="1" s="1"/>
  <c r="K11" i="1"/>
  <c r="O39" i="1"/>
  <c r="N89" i="1"/>
  <c r="O89" i="1" s="1"/>
  <c r="L259" i="1"/>
  <c r="L257" i="1" s="1"/>
  <c r="G6" i="1"/>
  <c r="O254" i="1"/>
  <c r="O36" i="1"/>
  <c r="N20" i="1"/>
  <c r="O20" i="1" s="1"/>
  <c r="F92" i="1"/>
  <c r="L154" i="1"/>
  <c r="F199" i="1"/>
  <c r="N257" i="1"/>
  <c r="O257" i="1" s="1"/>
  <c r="N145" i="1"/>
  <c r="N144" i="1" s="1"/>
  <c r="O144" i="1" s="1"/>
  <c r="J45" i="1"/>
  <c r="J44" i="1" s="1"/>
  <c r="L113" i="1"/>
  <c r="L252" i="1"/>
  <c r="O207" i="1"/>
  <c r="K186" i="1"/>
  <c r="K185" i="1" s="1"/>
  <c r="O271" i="1"/>
  <c r="F23" i="1"/>
  <c r="N109" i="1"/>
  <c r="O109" i="1" s="1"/>
  <c r="F222" i="1"/>
  <c r="G23" i="1"/>
  <c r="L188" i="1"/>
  <c r="L186" i="1" s="1"/>
  <c r="F246" i="1"/>
  <c r="O185" i="1"/>
  <c r="N254" i="1"/>
  <c r="H45" i="1"/>
  <c r="H44" i="1" s="1"/>
  <c r="L104" i="1"/>
  <c r="L103" i="1" s="1"/>
  <c r="L120" i="1"/>
  <c r="L189" i="1"/>
  <c r="L248" i="1"/>
  <c r="L262" i="1"/>
  <c r="M217" i="1"/>
  <c r="I45" i="1"/>
  <c r="I44" i="1" s="1"/>
  <c r="O94" i="1"/>
  <c r="K199" i="1"/>
  <c r="K222" i="1"/>
  <c r="L255" i="1"/>
  <c r="K45" i="1"/>
  <c r="K44" i="1" s="1"/>
  <c r="O91" i="1"/>
  <c r="J23" i="1"/>
  <c r="H23" i="1"/>
  <c r="K89" i="1"/>
  <c r="N131" i="1"/>
  <c r="O131" i="1" s="1"/>
  <c r="F144" i="1"/>
  <c r="M151" i="1"/>
  <c r="N208" i="1"/>
  <c r="L221" i="1"/>
  <c r="K240" i="1"/>
  <c r="K237" i="1" s="1"/>
  <c r="F6" i="1"/>
  <c r="L20" i="1"/>
  <c r="M10" i="1"/>
  <c r="O49" i="1"/>
  <c r="N172" i="1"/>
  <c r="O172" i="1" s="1"/>
  <c r="H198" i="1"/>
  <c r="N222" i="1"/>
  <c r="O222" i="1" s="1"/>
  <c r="I198" i="1"/>
  <c r="M198" i="1"/>
  <c r="O223" i="1"/>
  <c r="J6" i="1"/>
  <c r="K17" i="1"/>
  <c r="H92" i="1"/>
  <c r="I103" i="1"/>
  <c r="I92" i="1" s="1"/>
  <c r="L24" i="1"/>
  <c r="G92" i="1"/>
  <c r="N17" i="1"/>
  <c r="O17" i="1" s="1"/>
  <c r="L182" i="1"/>
  <c r="L261" i="1"/>
  <c r="N67" i="1"/>
  <c r="O67" i="1" s="1"/>
  <c r="N11" i="1"/>
  <c r="O11" i="1" s="1"/>
  <c r="N99" i="1"/>
  <c r="O99" i="1" s="1"/>
  <c r="L114" i="1"/>
  <c r="N199" i="1"/>
  <c r="K233" i="1"/>
  <c r="N14" i="1"/>
  <c r="O14" i="1" s="1"/>
  <c r="N28" i="1"/>
  <c r="O28" i="1" s="1"/>
  <c r="N103" i="1"/>
  <c r="O200" i="1"/>
  <c r="O199" i="1" s="1"/>
  <c r="O198" i="1" s="1"/>
  <c r="O208" i="1"/>
  <c r="L74" i="1"/>
  <c r="F198" i="1"/>
  <c r="L58" i="1"/>
  <c r="L222" i="1"/>
  <c r="L68" i="1"/>
  <c r="L69" i="1"/>
  <c r="L52" i="1"/>
  <c r="L7" i="1"/>
  <c r="G166" i="1"/>
  <c r="G151" i="1" s="1"/>
  <c r="J161" i="1"/>
  <c r="L161" i="1" s="1"/>
  <c r="L150" i="1"/>
  <c r="L93" i="1"/>
  <c r="L14" i="1"/>
  <c r="G208" i="1"/>
  <c r="G198" i="1" s="1"/>
  <c r="J210" i="1"/>
  <c r="I6" i="1"/>
  <c r="O12" i="1"/>
  <c r="O19" i="1"/>
  <c r="O29" i="1"/>
  <c r="O40" i="1"/>
  <c r="M108" i="1"/>
  <c r="M125" i="1" s="1"/>
  <c r="L13" i="1"/>
  <c r="L39" i="1"/>
  <c r="K93" i="1"/>
  <c r="K96" i="1"/>
  <c r="N24" i="1"/>
  <c r="F52" i="1"/>
  <c r="F45" i="1" s="1"/>
  <c r="K99" i="1"/>
  <c r="K131" i="1"/>
  <c r="H6" i="1"/>
  <c r="G45" i="1"/>
  <c r="N52" i="1"/>
  <c r="L99" i="1"/>
  <c r="O110" i="1"/>
  <c r="N155" i="1"/>
  <c r="L251" i="1"/>
  <c r="O269" i="1"/>
  <c r="N268" i="1"/>
  <c r="O268" i="1" s="1"/>
  <c r="J245" i="1"/>
  <c r="L245" i="1" s="1"/>
  <c r="L171" i="1"/>
  <c r="J173" i="1"/>
  <c r="J186" i="1"/>
  <c r="L270" i="1"/>
  <c r="G269" i="1"/>
  <c r="G268" i="1" s="1"/>
  <c r="O103" i="1"/>
  <c r="N112" i="1"/>
  <c r="O112" i="1" s="1"/>
  <c r="L118" i="1"/>
  <c r="J159" i="1"/>
  <c r="L159" i="1" s="1"/>
  <c r="K166" i="1"/>
  <c r="K151" i="1" s="1"/>
  <c r="L200" i="1"/>
  <c r="J199" i="1"/>
  <c r="L207" i="1"/>
  <c r="G217" i="1"/>
  <c r="L75" i="1"/>
  <c r="O98" i="1"/>
  <c r="H162" i="1"/>
  <c r="H155" i="1" s="1"/>
  <c r="J211" i="1"/>
  <c r="K211" i="1" s="1"/>
  <c r="L214" i="1"/>
  <c r="K227" i="1"/>
  <c r="I225" i="1"/>
  <c r="L228" i="1"/>
  <c r="N237" i="1"/>
  <c r="O237" i="1" s="1"/>
  <c r="J242" i="1"/>
  <c r="L242" i="1" s="1"/>
  <c r="H246" i="1"/>
  <c r="H217" i="1" s="1"/>
  <c r="K14" i="1"/>
  <c r="L152" i="1"/>
  <c r="N186" i="1"/>
  <c r="N185" i="1" s="1"/>
  <c r="J246" i="1"/>
  <c r="L140" i="1"/>
  <c r="I172" i="1"/>
  <c r="I166" i="1" s="1"/>
  <c r="I151" i="1" s="1"/>
  <c r="L174" i="1"/>
  <c r="N233" i="1"/>
  <c r="O233" i="1" s="1"/>
  <c r="G67" i="1"/>
  <c r="L119" i="1"/>
  <c r="O155" i="1"/>
  <c r="J160" i="1"/>
  <c r="L160" i="1" s="1"/>
  <c r="L234" i="1"/>
  <c r="J243" i="1"/>
  <c r="L243" i="1" s="1"/>
  <c r="L107" i="1"/>
  <c r="L148" i="1"/>
  <c r="J165" i="1"/>
  <c r="L165" i="1" s="1"/>
  <c r="N166" i="1"/>
  <c r="O166" i="1" s="1"/>
  <c r="H177" i="1"/>
  <c r="N229" i="1"/>
  <c r="O229" i="1" s="1"/>
  <c r="O231" i="1"/>
  <c r="M6" i="1"/>
  <c r="F67" i="1"/>
  <c r="N7" i="1"/>
  <c r="L89" i="1"/>
  <c r="H112" i="1"/>
  <c r="L180" i="1"/>
  <c r="J192" i="1"/>
  <c r="L192" i="1" s="1"/>
  <c r="L220" i="1"/>
  <c r="L231" i="1"/>
  <c r="K229" i="1"/>
  <c r="L19" i="1"/>
  <c r="L17" i="1" s="1"/>
  <c r="K7" i="1"/>
  <c r="L28" i="1"/>
  <c r="K205" i="1"/>
  <c r="L206" i="1"/>
  <c r="N225" i="1"/>
  <c r="O226" i="1"/>
  <c r="N246" i="1"/>
  <c r="O246" i="1" s="1"/>
  <c r="O247" i="1"/>
  <c r="L256" i="1"/>
  <c r="K254" i="1"/>
  <c r="K246" i="1" s="1"/>
  <c r="H170" i="1"/>
  <c r="J170" i="1" s="1"/>
  <c r="L116" i="1"/>
  <c r="O16" i="1"/>
  <c r="L97" i="1"/>
  <c r="O219" i="1"/>
  <c r="K146" i="1"/>
  <c r="L178" i="1"/>
  <c r="L183" i="1"/>
  <c r="O220" i="1"/>
  <c r="L271" i="1"/>
  <c r="J184" i="1"/>
  <c r="L184" i="1" s="1"/>
  <c r="J275" i="1"/>
  <c r="L232" i="1"/>
  <c r="J257" i="1"/>
  <c r="I229" i="1"/>
  <c r="AA165" i="2" l="1"/>
  <c r="AA162" i="2"/>
  <c r="AA192" i="2" s="1"/>
  <c r="AA193" i="2" s="1"/>
  <c r="V204" i="2"/>
  <c r="AE176" i="2"/>
  <c r="AE166" i="2"/>
  <c r="Z176" i="2"/>
  <c r="Z166" i="2"/>
  <c r="AB177" i="2"/>
  <c r="AB170" i="2"/>
  <c r="AA177" i="2"/>
  <c r="AA170" i="2"/>
  <c r="AC177" i="2"/>
  <c r="AC170" i="2"/>
  <c r="AD177" i="2"/>
  <c r="AD170" i="2"/>
  <c r="AC173" i="2"/>
  <c r="AC174" i="2" s="1"/>
  <c r="AC176" i="2"/>
  <c r="AC166" i="2"/>
  <c r="AA176" i="2"/>
  <c r="AA173" i="2"/>
  <c r="AA174" i="2" s="1"/>
  <c r="AA166" i="2"/>
  <c r="AF135" i="2"/>
  <c r="AF105" i="2"/>
  <c r="Y169" i="2"/>
  <c r="AF89" i="2"/>
  <c r="AF125" i="2"/>
  <c r="AF97" i="2"/>
  <c r="AF47" i="2"/>
  <c r="Y165" i="2"/>
  <c r="Y162" i="2"/>
  <c r="Y192" i="2" s="1"/>
  <c r="Y193" i="2" s="1"/>
  <c r="Y203" i="2"/>
  <c r="AF123" i="2"/>
  <c r="AF83" i="2"/>
  <c r="AF119" i="2"/>
  <c r="AF149" i="2"/>
  <c r="AF127" i="2"/>
  <c r="AF63" i="2"/>
  <c r="AF91" i="2"/>
  <c r="AF145" i="2"/>
  <c r="AF25" i="2"/>
  <c r="AF168" i="2"/>
  <c r="AI168" i="2" s="1"/>
  <c r="AF151" i="2"/>
  <c r="X162" i="2"/>
  <c r="X165" i="2"/>
  <c r="X166" i="2" s="1"/>
  <c r="AF11" i="2"/>
  <c r="X203" i="2"/>
  <c r="AF81" i="2"/>
  <c r="AC162" i="2"/>
  <c r="AC192" i="2" s="1"/>
  <c r="AC193" i="2" s="1"/>
  <c r="AD202" i="2"/>
  <c r="AD205" i="2" s="1"/>
  <c r="AC202" i="2"/>
  <c r="AC205" i="2" s="1"/>
  <c r="AA202" i="2"/>
  <c r="Z202" i="2"/>
  <c r="Z205" i="2" s="1"/>
  <c r="Y202" i="2"/>
  <c r="U165" i="2"/>
  <c r="X202" i="2"/>
  <c r="U162" i="2"/>
  <c r="AB202" i="2"/>
  <c r="AE202" i="2"/>
  <c r="AF141" i="2"/>
  <c r="AF31" i="2"/>
  <c r="AF121" i="2"/>
  <c r="AF75" i="2"/>
  <c r="AF147" i="2"/>
  <c r="AF95" i="2"/>
  <c r="AF51" i="2"/>
  <c r="AD165" i="2"/>
  <c r="AF79" i="2"/>
  <c r="AF33" i="2"/>
  <c r="AF65" i="2"/>
  <c r="W165" i="2"/>
  <c r="W162" i="2"/>
  <c r="W192" i="2" s="1"/>
  <c r="W203" i="2"/>
  <c r="W205" i="2" s="1"/>
  <c r="AF27" i="2"/>
  <c r="AF39" i="2"/>
  <c r="AF137" i="2"/>
  <c r="AF85" i="2"/>
  <c r="AF202" i="2"/>
  <c r="AF55" i="2"/>
  <c r="AF107" i="2"/>
  <c r="AF113" i="2"/>
  <c r="AF15" i="2"/>
  <c r="AF181" i="2"/>
  <c r="AF190" i="2" s="1"/>
  <c r="AF204" i="2" s="1"/>
  <c r="X190" i="2"/>
  <c r="X204" i="2" s="1"/>
  <c r="AF23" i="2"/>
  <c r="Z162" i="2"/>
  <c r="Z192" i="2" s="1"/>
  <c r="Z193" i="2" s="1"/>
  <c r="X172" i="2"/>
  <c r="AF164" i="2"/>
  <c r="AF73" i="2"/>
  <c r="AA203" i="2"/>
  <c r="V165" i="2"/>
  <c r="V203" i="2"/>
  <c r="V205" i="2" s="1"/>
  <c r="V162" i="2"/>
  <c r="V192" i="2" s="1"/>
  <c r="AB165" i="2"/>
  <c r="AF101" i="2"/>
  <c r="AF111" i="2"/>
  <c r="X169" i="2"/>
  <c r="AF71" i="2"/>
  <c r="AF103" i="2"/>
  <c r="AF109" i="2"/>
  <c r="AF13" i="2"/>
  <c r="AF157" i="2"/>
  <c r="AF117" i="2"/>
  <c r="AB203" i="2"/>
  <c r="AF153" i="2"/>
  <c r="AF19" i="2"/>
  <c r="AF87" i="2"/>
  <c r="Z169" i="2"/>
  <c r="AF139" i="2"/>
  <c r="AF99" i="2"/>
  <c r="AF143" i="2"/>
  <c r="AF161" i="2"/>
  <c r="AF133" i="2"/>
  <c r="AE169" i="2"/>
  <c r="AE177" i="2" s="1"/>
  <c r="AF17" i="2"/>
  <c r="F217" i="1"/>
  <c r="F274" i="1" s="1"/>
  <c r="F276" i="1" s="1"/>
  <c r="N92" i="1"/>
  <c r="O92" i="1" s="1"/>
  <c r="J108" i="1"/>
  <c r="J125" i="1" s="1"/>
  <c r="L240" i="1"/>
  <c r="L237" i="1" s="1"/>
  <c r="H108" i="1"/>
  <c r="H125" i="1" s="1"/>
  <c r="M274" i="1"/>
  <c r="M276" i="1" s="1"/>
  <c r="M277" i="1" s="1"/>
  <c r="I108" i="1"/>
  <c r="I125" i="1" s="1"/>
  <c r="N198" i="1"/>
  <c r="N10" i="1"/>
  <c r="O10" i="1" s="1"/>
  <c r="N151" i="1"/>
  <c r="I217" i="1"/>
  <c r="I274" i="1" s="1"/>
  <c r="I276" i="1" s="1"/>
  <c r="I277" i="1" s="1"/>
  <c r="L260" i="1"/>
  <c r="O151" i="1"/>
  <c r="G274" i="1"/>
  <c r="G276" i="1" s="1"/>
  <c r="L67" i="1"/>
  <c r="L170" i="1"/>
  <c r="J208" i="1"/>
  <c r="J198" i="1" s="1"/>
  <c r="J269" i="1"/>
  <c r="J268" i="1" s="1"/>
  <c r="K208" i="1"/>
  <c r="K198" i="1" s="1"/>
  <c r="L211" i="1"/>
  <c r="O7" i="1"/>
  <c r="N6" i="1"/>
  <c r="O6" i="1" s="1"/>
  <c r="L199" i="1"/>
  <c r="L149" i="1"/>
  <c r="K6" i="1"/>
  <c r="K225" i="1"/>
  <c r="K217" i="1" s="1"/>
  <c r="L227" i="1"/>
  <c r="L254" i="1"/>
  <c r="K145" i="1"/>
  <c r="K144" i="1" s="1"/>
  <c r="L146" i="1"/>
  <c r="F44" i="1"/>
  <c r="F108" i="1" s="1"/>
  <c r="F125" i="1" s="1"/>
  <c r="L205" i="1"/>
  <c r="L96" i="1"/>
  <c r="J185" i="1"/>
  <c r="L112" i="1"/>
  <c r="O24" i="1"/>
  <c r="N23" i="1"/>
  <c r="O23" i="1" s="1"/>
  <c r="L219" i="1"/>
  <c r="J237" i="1"/>
  <c r="J162" i="1"/>
  <c r="J155" i="1" s="1"/>
  <c r="J172" i="1"/>
  <c r="L173" i="1"/>
  <c r="O225" i="1"/>
  <c r="O217" i="1" s="1"/>
  <c r="N217" i="1"/>
  <c r="K92" i="1"/>
  <c r="K108" i="1" s="1"/>
  <c r="L110" i="1"/>
  <c r="O52" i="1"/>
  <c r="N45" i="1"/>
  <c r="L210" i="1"/>
  <c r="L229" i="1"/>
  <c r="L45" i="1"/>
  <c r="L185" i="1"/>
  <c r="L253" i="1"/>
  <c r="G44" i="1"/>
  <c r="G108" i="1" s="1"/>
  <c r="G125" i="1" s="1"/>
  <c r="G277" i="1" s="1"/>
  <c r="L233" i="1"/>
  <c r="L23" i="1"/>
  <c r="L11" i="1"/>
  <c r="H166" i="1"/>
  <c r="H151" i="1" s="1"/>
  <c r="H274" i="1" s="1"/>
  <c r="H276" i="1" s="1"/>
  <c r="J177" i="1"/>
  <c r="L177" i="1" s="1"/>
  <c r="L131" i="1"/>
  <c r="AA205" i="2" l="1"/>
  <c r="Y205" i="2"/>
  <c r="W173" i="2"/>
  <c r="W174" i="2" s="1"/>
  <c r="W166" i="2"/>
  <c r="AE205" i="2"/>
  <c r="AB205" i="2"/>
  <c r="AF203" i="2"/>
  <c r="AF205" i="2" s="1"/>
  <c r="AF162" i="2"/>
  <c r="AF192" i="2" s="1"/>
  <c r="Z177" i="2"/>
  <c r="Z170" i="2"/>
  <c r="W195" i="2"/>
  <c r="W197" i="2" s="1"/>
  <c r="W193" i="2"/>
  <c r="Y177" i="2"/>
  <c r="Y170" i="2"/>
  <c r="X205" i="2"/>
  <c r="X192" i="2"/>
  <c r="X193" i="2" s="1"/>
  <c r="AB173" i="2"/>
  <c r="AB174" i="2" s="1"/>
  <c r="AB176" i="2"/>
  <c r="AB166" i="2"/>
  <c r="AF166" i="2" s="1"/>
  <c r="AI166" i="2" s="1"/>
  <c r="V193" i="2"/>
  <c r="V195" i="2"/>
  <c r="V197" i="2" s="1"/>
  <c r="V173" i="2"/>
  <c r="V174" i="2" s="1"/>
  <c r="V166" i="2"/>
  <c r="X173" i="2"/>
  <c r="X174" i="2" s="1"/>
  <c r="X176" i="2"/>
  <c r="AF165" i="2"/>
  <c r="AD176" i="2"/>
  <c r="AD166" i="2"/>
  <c r="AD173" i="2"/>
  <c r="AD174" i="2" s="1"/>
  <c r="U173" i="2"/>
  <c r="U174" i="2" s="1"/>
  <c r="U166" i="2"/>
  <c r="AF172" i="2"/>
  <c r="AI164" i="2"/>
  <c r="AE170" i="2"/>
  <c r="Y173" i="2"/>
  <c r="Y174" i="2" s="1"/>
  <c r="Y176" i="2"/>
  <c r="Y166" i="2"/>
  <c r="Z173" i="2"/>
  <c r="Z174" i="2" s="1"/>
  <c r="X177" i="2"/>
  <c r="AF169" i="2"/>
  <c r="AI169" i="2" s="1"/>
  <c r="X170" i="2"/>
  <c r="AE173" i="2"/>
  <c r="AE174" i="2" s="1"/>
  <c r="F277" i="1"/>
  <c r="N274" i="1"/>
  <c r="O274" i="1" s="1"/>
  <c r="H277" i="1"/>
  <c r="K274" i="1"/>
  <c r="J166" i="1"/>
  <c r="J151" i="1" s="1"/>
  <c r="L269" i="1"/>
  <c r="L268" i="1" s="1"/>
  <c r="L162" i="1"/>
  <c r="J217" i="1"/>
  <c r="L10" i="1"/>
  <c r="O45" i="1"/>
  <c r="N44" i="1"/>
  <c r="O44" i="1" s="1"/>
  <c r="L92" i="1"/>
  <c r="K125" i="1"/>
  <c r="L145" i="1"/>
  <c r="L172" i="1"/>
  <c r="L6" i="1"/>
  <c r="L246" i="1"/>
  <c r="L111" i="1"/>
  <c r="L208" i="1"/>
  <c r="L44" i="1"/>
  <c r="L225" i="1"/>
  <c r="AF170" i="2" l="1"/>
  <c r="AI170" i="2" s="1"/>
  <c r="AI172" i="2"/>
  <c r="AI165" i="2"/>
  <c r="AF173" i="2"/>
  <c r="AI173" i="2" s="1"/>
  <c r="N276" i="1"/>
  <c r="O276" i="1" s="1"/>
  <c r="N108" i="1"/>
  <c r="O108" i="1" s="1"/>
  <c r="L155" i="1"/>
  <c r="J274" i="1"/>
  <c r="L198" i="1"/>
  <c r="L166" i="1"/>
  <c r="L217" i="1"/>
  <c r="L109" i="1"/>
  <c r="L108" i="1"/>
  <c r="L144" i="1"/>
  <c r="N125" i="1" l="1"/>
  <c r="AF174" i="2"/>
  <c r="AI174" i="2" s="1"/>
  <c r="J276" i="1"/>
  <c r="J277" i="1" s="1"/>
  <c r="L151" i="1"/>
  <c r="L274" i="1" s="1"/>
  <c r="N277" i="1"/>
  <c r="O277" i="1" s="1"/>
  <c r="O125" i="1"/>
  <c r="L125" i="1"/>
  <c r="K275" i="1" l="1"/>
  <c r="L275" i="1" l="1"/>
  <c r="L276" i="1" s="1"/>
  <c r="L277" i="1" s="1"/>
  <c r="K276" i="1"/>
  <c r="K27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Sarmīte Mūze</author>
  </authors>
  <commentList>
    <comment ref="G40" authorId="0" shapeId="0" xr:uid="{2AEB37CC-AFB6-4EC6-AA7D-1324744F3E57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Iedzīvotāju līdzfinansējums Rasiņu ielas rekonstrukcijai</t>
        </r>
      </text>
    </comment>
    <comment ref="N43" authorId="0" shapeId="0" xr:uid="{49F39491-3BC6-4685-B9AE-70540D8F9224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76'000 mežaudze vai koki; 46'000+73'000 Kadaga.</t>
        </r>
      </text>
    </comment>
    <comment ref="F48" authorId="0" shapeId="0" xr:uid="{CCD8F6D4-545C-4C6C-84E9-AAB29E34077F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33'476 Nod. 0970
49'493 Carnikavas skola
166'307 Ādažu pamatsk</t>
        </r>
      </text>
    </comment>
    <comment ref="E53" authorId="0" shapeId="0" xr:uid="{C8E1E29E-367D-41EF-B792-1C39EFDE2941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EUR 1843 nodaļa 0901
EUR 540 nodaļa 0902
EUR 60 nodaļa 0910
EUR 4 nodaļa 0920
EUR 8'241 nodaļa 0952</t>
        </r>
      </text>
    </comment>
    <comment ref="E54" authorId="0" shapeId="0" xr:uid="{74280EB3-5574-4283-A7AC-5AE8374D2FBE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0954 EUR 65'816;
09821 EUR 15'567
</t>
        </r>
      </text>
    </comment>
    <comment ref="E66" authorId="0" shapeId="0" xr:uid="{F5BEBDDB-FB80-4FB0-992B-82396470E58C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Piekrastes apsaimniekošana (0630); Kontakts (0930); EUCF 42'000; 
 </t>
        </r>
      </text>
    </comment>
    <comment ref="F66" authorId="0" shapeId="0" xr:uid="{83B1DB6B-B3F3-4591-BFA7-45A30DDFB322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AID Meža dienas; soc. Dienesta pabalsti; 13'800 darbin. Atalgoj. No LM
</t>
        </r>
      </text>
    </comment>
    <comment ref="E72" authorId="0" shapeId="0" xr:uid="{27F88CD8-EAA7-43E6-ABC5-FFA494C6B0ED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23'596,82 ĀND
18'440,43 CND</t>
        </r>
      </text>
    </comment>
    <comment ref="E82" authorId="0" shapeId="0" xr:uid="{A0744DB0-7A26-4F0F-AC49-70E648436750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239'963,68 ĀVSK</t>
        </r>
      </text>
    </comment>
    <comment ref="E97" authorId="0" shapeId="0" xr:uid="{558E83E4-4AAA-4FE1-9EB2-04E4FF856D06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EUR 42'000 zem "Pārējās dotācijas"</t>
        </r>
      </text>
    </comment>
    <comment ref="I107" authorId="0" shapeId="0" xr:uid="{7C9FB26F-D3BF-4801-91C0-0306431FF790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25'000 no saimnieciskās darbības</t>
        </r>
      </text>
    </comment>
    <comment ref="E156" authorId="0" shapeId="0" xr:uid="{6EF45FE2-FA9B-41A6-AE19-E25395F7D66F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EUR 10'621 Piekrastes apsaimniekošanas projekts
</t>
        </r>
      </text>
    </comment>
    <comment ref="I172" authorId="0" shapeId="0" xr:uid="{93F5363D-26F0-4925-9176-EEC49B1F69B6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CKS+0649 (Bāze)</t>
        </r>
      </text>
    </comment>
    <comment ref="I173" authorId="0" shapeId="0" xr:uid="{EF13CC93-B140-41CA-9472-1093CAF24120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CKS</t>
        </r>
      </text>
    </comment>
    <comment ref="I174" authorId="0" shapeId="0" xr:uid="{C94DDDAC-7BE8-4F01-9B69-1E374CC2F2C0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0649 (Bāze)</t>
        </r>
      </text>
    </comment>
    <comment ref="E234" authorId="0" shapeId="0" xr:uid="{1F941DA8-D859-4A03-9ABE-BE407E259BA5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Ēdināšana</t>
        </r>
      </text>
    </comment>
    <comment ref="F234" authorId="0" shapeId="0" xr:uid="{EC0DA6E9-3D0A-42D1-9037-8160EB4BA9E5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Interešu izgl., ēdināšana</t>
        </r>
      </text>
    </comment>
    <comment ref="F238" authorId="0" shapeId="0" xr:uid="{5D6D8943-7A8F-4625-9DD9-50EF21C835CA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Interešu; pedagogi</t>
        </r>
      </text>
    </comment>
    <comment ref="F247" authorId="0" shapeId="0" xr:uid="{B7333A4A-5A21-4876-9557-2949B35986AF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Interešu; pedagogi</t>
        </r>
      </text>
    </comment>
    <comment ref="E263" authorId="0" shapeId="0" xr:uid="{C7A7E91B-A6C4-4FE4-B4A1-D176FEC40B8A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Projekts Kontakts; Jāsaprot NP</t>
        </r>
      </text>
    </comment>
    <comment ref="M267" authorId="0" shapeId="0" xr:uid="{BA0DC095-B376-46E9-878F-39DD424B7B34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  <comment ref="N267" authorId="0" shapeId="0" xr:uid="{505A2B3B-DE27-4C92-BD8A-E284C500A6C8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Sarmīte Mūze</author>
    <author>Baiba Kanča</author>
  </authors>
  <commentList>
    <comment ref="V28" authorId="0" shapeId="0" xr:uid="{6AF3FF45-F64C-4AB6-ADCB-D8889A1DE2F4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Atmaksā ERAF ienākošā nauda</t>
        </r>
      </text>
    </comment>
    <comment ref="I34" authorId="0" shapeId="0" xr:uid="{2B604AB2-6C4C-48A7-8580-968D10E9F1ED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EUR 236'297 ĀND daļa
</t>
        </r>
      </text>
    </comment>
    <comment ref="AE71" authorId="1" shapeId="0" xr:uid="{C4DC4DCE-9CC8-437C-817B-D4D66EB473F5}">
      <text>
        <r>
          <rPr>
            <b/>
            <sz val="9"/>
            <color indexed="81"/>
            <rFont val="Tahoma"/>
            <family val="2"/>
            <charset val="186"/>
          </rPr>
          <t>Baiba Kanča:</t>
        </r>
        <r>
          <rPr>
            <sz val="9"/>
            <color indexed="81"/>
            <rFont val="Tahoma"/>
            <family val="2"/>
            <charset val="186"/>
          </rPr>
          <t xml:space="preserve">
samazinās uz pusi</t>
        </r>
      </text>
    </comment>
    <comment ref="AE73" authorId="1" shapeId="0" xr:uid="{05E9C6F5-2AA8-424E-9ADF-8A3C0243249F}">
      <text>
        <r>
          <rPr>
            <b/>
            <sz val="9"/>
            <color indexed="81"/>
            <rFont val="Tahoma"/>
            <family val="2"/>
            <charset val="186"/>
          </rPr>
          <t>Baiba Kanča:</t>
        </r>
        <r>
          <rPr>
            <sz val="9"/>
            <color indexed="81"/>
            <rFont val="Tahoma"/>
            <family val="2"/>
            <charset val="186"/>
          </rPr>
          <t xml:space="preserve">
samazinās uz pusi
</t>
        </r>
      </text>
    </comment>
  </commentList>
</comments>
</file>

<file path=xl/sharedStrings.xml><?xml version="1.0" encoding="utf-8"?>
<sst xmlns="http://schemas.openxmlformats.org/spreadsheetml/2006/main" count="1462" uniqueCount="1022">
  <si>
    <t>Ādažu pašvaldības apvienotais budžets</t>
  </si>
  <si>
    <t>2023. gads</t>
  </si>
  <si>
    <t xml:space="preserve">Ieņēmumu daļa </t>
  </si>
  <si>
    <t xml:space="preserve">N.p.k. </t>
  </si>
  <si>
    <t>Sadaļa</t>
  </si>
  <si>
    <t>KA 31.12.2022.</t>
  </si>
  <si>
    <t>Valsts finansējums (mērķdotācijas)</t>
  </si>
  <si>
    <t>Projektu finansējums</t>
  </si>
  <si>
    <t>Aizņēmumi</t>
  </si>
  <si>
    <t>CKS</t>
  </si>
  <si>
    <t>2023. ĀND investīcijas</t>
  </si>
  <si>
    <t>2023. ĀND bāze</t>
  </si>
  <si>
    <t>2023. gada budžets</t>
  </si>
  <si>
    <t xml:space="preserve">Komentāri </t>
  </si>
  <si>
    <t>1., 2., 3., 4., 5.1.</t>
  </si>
  <si>
    <t>Nodokļu ieņēmumi</t>
  </si>
  <si>
    <t>1.1.1.0.</t>
  </si>
  <si>
    <t>1.</t>
  </si>
  <si>
    <t>Iedzīvotāju ienākuma nodoklis</t>
  </si>
  <si>
    <t>PB</t>
  </si>
  <si>
    <t>01.1.1.2.</t>
  </si>
  <si>
    <t>1.1.</t>
  </si>
  <si>
    <t>pārskata gada</t>
  </si>
  <si>
    <t>1.2.</t>
  </si>
  <si>
    <t>saņemts no Valsts kases sadales konta iepriekšējā gada nesadalītais iedzīvotāju ienākuma nodokļa atlikums</t>
  </si>
  <si>
    <t>1., 2., 3., 4.</t>
  </si>
  <si>
    <t>Nekustamā īpašuma nodokļu ieņēmumi</t>
  </si>
  <si>
    <t>4.1.1.0.</t>
  </si>
  <si>
    <t>2.</t>
  </si>
  <si>
    <t>Nekustamā īpašuma nodoklis par zemi</t>
  </si>
  <si>
    <t>04.1.1.1.</t>
  </si>
  <si>
    <t>2.1.</t>
  </si>
  <si>
    <t>04.1.1.2.</t>
  </si>
  <si>
    <t>2.2.</t>
  </si>
  <si>
    <t>iepriekšējo gadu parādi</t>
  </si>
  <si>
    <t>4.1.2.0.</t>
  </si>
  <si>
    <t>3.</t>
  </si>
  <si>
    <t>Nekustamā īpašuma nodoklis par ēkām</t>
  </si>
  <si>
    <t>04.1.2.1.</t>
  </si>
  <si>
    <t>3.1.</t>
  </si>
  <si>
    <t xml:space="preserve">pārskata gada </t>
  </si>
  <si>
    <t>04.1.2.2.</t>
  </si>
  <si>
    <t>3.2.</t>
  </si>
  <si>
    <t>4.1.3.0.</t>
  </si>
  <si>
    <t>4.</t>
  </si>
  <si>
    <t>Nekustamā īpašuma nodoklis par mājokļiem un inženierbūvēm</t>
  </si>
  <si>
    <t>04.1.3.1.</t>
  </si>
  <si>
    <t>4.1.</t>
  </si>
  <si>
    <t>04.1.3.2.</t>
  </si>
  <si>
    <t>4.2.</t>
  </si>
  <si>
    <t>5.</t>
  </si>
  <si>
    <t>Nodokļi un maksājumi par tiesībām lietot atsevišķas preces</t>
  </si>
  <si>
    <t>5.4.1.0.</t>
  </si>
  <si>
    <t>5.1.</t>
  </si>
  <si>
    <t>Azartspēļu nodoklis</t>
  </si>
  <si>
    <t>5.5.3.1.</t>
  </si>
  <si>
    <t>Dabas resursu nodoklis</t>
  </si>
  <si>
    <t>9.0.0.0.</t>
  </si>
  <si>
    <t>6.</t>
  </si>
  <si>
    <t>Valsts (pašvaldību) un kancelejas nodevas</t>
  </si>
  <si>
    <t>9.4.0.0.</t>
  </si>
  <si>
    <t>6.1.</t>
  </si>
  <si>
    <t>valsts nodevas</t>
  </si>
  <si>
    <t>09.4.2.0.</t>
  </si>
  <si>
    <t>6.1.1.</t>
  </si>
  <si>
    <t>t.sk.: - par apliecinājumiem un citu funkciju pildīšanu bāriņtiesā</t>
  </si>
  <si>
    <t>09.4.5.0.</t>
  </si>
  <si>
    <t>6.1.2.</t>
  </si>
  <si>
    <t>t.sk.: - par civilstāvokļa aktu reģistrēšanu, grozīšanu un papildināšanu</t>
  </si>
  <si>
    <t>09.4.9.0.</t>
  </si>
  <si>
    <t>6.1.3.</t>
  </si>
  <si>
    <t>t.sk.: - pārējās valsts nodevas, kuras ieskaita pašvaldību budžetā</t>
  </si>
  <si>
    <t>9.5.0.0.</t>
  </si>
  <si>
    <t>6.2.</t>
  </si>
  <si>
    <t>pašvaldību nodevas</t>
  </si>
  <si>
    <t>09.5.1.1.</t>
  </si>
  <si>
    <t>6.2.1.</t>
  </si>
  <si>
    <t>t.sk.: - nodeva par domes izstrādāto oficiālo dokumentu saņemšanu</t>
  </si>
  <si>
    <t>09.5.1.2.</t>
  </si>
  <si>
    <t>6.2.2.</t>
  </si>
  <si>
    <t>t.sk.: - nodeva par izklaidējoša rakstura pasākumu sarīkošanu publiskās vietās</t>
  </si>
  <si>
    <t>09.5.1.4.</t>
  </si>
  <si>
    <t>6.2.3.</t>
  </si>
  <si>
    <t>t.sk.: - nodeva par tirdzniecību publiskās vietās</t>
  </si>
  <si>
    <t>09.5.1.5.</t>
  </si>
  <si>
    <t>6.2.4.</t>
  </si>
  <si>
    <t>t.sk.: - nodeva par dzīvnieku turēšanu</t>
  </si>
  <si>
    <t>09.5.1.7.</t>
  </si>
  <si>
    <t>6.2.5.</t>
  </si>
  <si>
    <t>t.sk.: - nodeva par reklāmas, afišu un sludinājumu izvietošanu publiskās vietās</t>
  </si>
  <si>
    <t>09.5.2.1.</t>
  </si>
  <si>
    <t>6.2.6.</t>
  </si>
  <si>
    <t>t.sk.: - nodeva par būvatļaujas saņemšanu</t>
  </si>
  <si>
    <t>09.5.2.9.</t>
  </si>
  <si>
    <t>6.2.7.</t>
  </si>
  <si>
    <t>t.sk.: - pārējās nodevas</t>
  </si>
  <si>
    <t>10.0.0.0.</t>
  </si>
  <si>
    <t>7.</t>
  </si>
  <si>
    <t>Naudas sodi un sankcijas</t>
  </si>
  <si>
    <t>10.1.4.0.</t>
  </si>
  <si>
    <t>7.1.</t>
  </si>
  <si>
    <t>10.1.5.0.</t>
  </si>
  <si>
    <t>7.2.</t>
  </si>
  <si>
    <t>Naudas sodi, ko uzliek par pārkāpumiem ceļu satiksmē</t>
  </si>
  <si>
    <t>12.0.0.0.</t>
  </si>
  <si>
    <t>8.</t>
  </si>
  <si>
    <t>Pārējie nenodokļu ieņēmumi</t>
  </si>
  <si>
    <t>12.3.9.9.; 8.3.9.0.</t>
  </si>
  <si>
    <t>8.1.</t>
  </si>
  <si>
    <t>citi nenodokļu ieņēmumi</t>
  </si>
  <si>
    <t>SIA "Ādažu Namsaimnieks" dividendes, novirzīt caur 0950 izdevumi vidussk.apkures sist.pāreja uz atjaunoj.energoresursiem, Domes lēmums Nr.215.</t>
  </si>
  <si>
    <t>12.3.9.5.</t>
  </si>
  <si>
    <t>8.2.</t>
  </si>
  <si>
    <t>līgumsodi un procentu maksājumi par saistību neizpildi</t>
  </si>
  <si>
    <t>8.3.</t>
  </si>
  <si>
    <t>ieņēmumi no zvejas tiesību nomas</t>
  </si>
  <si>
    <t>13.1.0.0.</t>
  </si>
  <si>
    <t>9.</t>
  </si>
  <si>
    <t>Ieņēmumi no pašvaldības īpašuma pārdošana</t>
  </si>
  <si>
    <t>10.</t>
  </si>
  <si>
    <t>Valsts budžeta transferti un projektu finansējums</t>
  </si>
  <si>
    <t>10.1.</t>
  </si>
  <si>
    <t>Valsts budžeta transferti</t>
  </si>
  <si>
    <t>mērķdotācija</t>
  </si>
  <si>
    <t>18.6.2.3.</t>
  </si>
  <si>
    <t>10.1.1.</t>
  </si>
  <si>
    <t>dotācija mākslas skolas algām</t>
  </si>
  <si>
    <t>18.6.2.4.</t>
  </si>
  <si>
    <t>10.1.2.</t>
  </si>
  <si>
    <t>dotācija sporta skolai</t>
  </si>
  <si>
    <t>18.6.2.10.; 18.6.2.11</t>
  </si>
  <si>
    <t>10.1.3.</t>
  </si>
  <si>
    <t>dotācija skolēnu ēdināšanai</t>
  </si>
  <si>
    <t>18.6.2.5.</t>
  </si>
  <si>
    <t>10.1.4.</t>
  </si>
  <si>
    <t>dotācija mācību līdzekļiem</t>
  </si>
  <si>
    <t xml:space="preserve">  10.1.4.1.</t>
  </si>
  <si>
    <t>t.sk.: - dotācija mācību grāmatām</t>
  </si>
  <si>
    <t xml:space="preserve">  10.1.4.2.</t>
  </si>
  <si>
    <t>t.sk.: - dotācija digitālajiem mācību līdzekļiem</t>
  </si>
  <si>
    <t>18.6.2.0.</t>
  </si>
  <si>
    <t>10.1.5.</t>
  </si>
  <si>
    <t>dotācijas pedagogu algām (vsk., PII)</t>
  </si>
  <si>
    <t>18.6.2.2.</t>
  </si>
  <si>
    <t xml:space="preserve">  10.1.5.1.</t>
  </si>
  <si>
    <t>t.sk.: - piecgadīgo bērnu apmācība</t>
  </si>
  <si>
    <t>18.6.2.1.</t>
  </si>
  <si>
    <t xml:space="preserve">  10.1.5.2.</t>
  </si>
  <si>
    <t>t.sk.: - skolotāju algām</t>
  </si>
  <si>
    <t xml:space="preserve">  10.1.5.3.</t>
  </si>
  <si>
    <t>t.sk.: - interešu izglītība</t>
  </si>
  <si>
    <t>18.6.2.9.</t>
  </si>
  <si>
    <t>10.1.6.</t>
  </si>
  <si>
    <t>dotācija māksliniecisko kolektīvu vadītāju atalgojumam</t>
  </si>
  <si>
    <t>18.6.3.1.</t>
  </si>
  <si>
    <t>10.1.7.</t>
  </si>
  <si>
    <t>Projekts "Skolas soma" Ādaži</t>
  </si>
  <si>
    <t>10.1.8.</t>
  </si>
  <si>
    <t>Projekts "Skolas soma" Carnikava</t>
  </si>
  <si>
    <t>18.6.2.7.</t>
  </si>
  <si>
    <t>10.1.9.</t>
  </si>
  <si>
    <t>dotācija asistenta pakalpojumu nodrošināšanai</t>
  </si>
  <si>
    <t>10.1.10.</t>
  </si>
  <si>
    <t>dotācija sociālajiem darbiniekiem, kuri strādā ar ģimenēm un bērniem</t>
  </si>
  <si>
    <t>AM līdzfinansējums Mežaparka ceļa izbūvei</t>
  </si>
  <si>
    <t>0420 (18.6.2.9.)</t>
  </si>
  <si>
    <t>10.1.11.</t>
  </si>
  <si>
    <t>valsts dotācija ceļu uzturēšanai</t>
  </si>
  <si>
    <t>10.1.12.</t>
  </si>
  <si>
    <t>Dotācijas Ukrainas pilsoņu atbalstam</t>
  </si>
  <si>
    <t>10.1.13.</t>
  </si>
  <si>
    <t>Dotācijas "Energoresursu atbalsts"</t>
  </si>
  <si>
    <t>0630</t>
  </si>
  <si>
    <t>18.6.2.9.;</t>
  </si>
  <si>
    <t>10.1.14.</t>
  </si>
  <si>
    <t>pārējās dotācijas</t>
  </si>
  <si>
    <t>10.2.</t>
  </si>
  <si>
    <t>ES struktūrfondu līdzekļi un aktivitāšu līdzfinansējumi</t>
  </si>
  <si>
    <t>18.6.2.6.1.</t>
  </si>
  <si>
    <t>10.2.1.</t>
  </si>
  <si>
    <t>Dotācija nodarbinātības pasākumiem</t>
  </si>
  <si>
    <t>0634</t>
  </si>
  <si>
    <t>18.6.3.6.</t>
  </si>
  <si>
    <t>10.2.2.</t>
  </si>
  <si>
    <t>Plūdu risku projekts</t>
  </si>
  <si>
    <t>10.2.3.</t>
  </si>
  <si>
    <t>Apgaismojuma izbūve uz Salas aizsargdamja D-2 posmā, Carnikavas pagastā</t>
  </si>
  <si>
    <t>18.6.3.4</t>
  </si>
  <si>
    <t>10.2.4.</t>
  </si>
  <si>
    <t>Auto stāvlaukuma Lilastē paplašināšanas un atpūtas vietu labiekārtojuma projektēšana un izbūve ©</t>
  </si>
  <si>
    <t xml:space="preserve">18.6.3.13. </t>
  </si>
  <si>
    <t>10.2.5.</t>
  </si>
  <si>
    <t>SAM 9.2.4.2. projekts "Pasākumi vietējās sabiedrības veselības veicināšanai Ādažu novadā"</t>
  </si>
  <si>
    <t xml:space="preserve">18.6.3.14.  </t>
  </si>
  <si>
    <t>10.2.6.</t>
  </si>
  <si>
    <t>VISA projekts "Atbalsts izglītojamo individuālo kompetenču attīstībai"</t>
  </si>
  <si>
    <t>10.2.8.</t>
  </si>
  <si>
    <t>SAM 9311 Deinstitucionalizācija - Dienas centrs - specializētās darbnīcas</t>
  </si>
  <si>
    <t>10.2.9.</t>
  </si>
  <si>
    <t>Dienas centrs - pakalpojumi (Ā)</t>
  </si>
  <si>
    <t>0632.2</t>
  </si>
  <si>
    <t xml:space="preserve">18.6.3.12. </t>
  </si>
  <si>
    <t>10.2.10.</t>
  </si>
  <si>
    <t>LAD projekts "Laivu ielas un tai piegulošā auto stāvlaukuma projektēšana un būvniecība"</t>
  </si>
  <si>
    <t>10.2.11.</t>
  </si>
  <si>
    <t>KF Ūdenssaimniecība 3.kārta Carnikavā</t>
  </si>
  <si>
    <t>10.2.12.</t>
  </si>
  <si>
    <t>ESF projekts Karjeras atbalsts vispārējās un profesionālās izglītības iestādēs ©</t>
  </si>
  <si>
    <t>10.2.13.</t>
  </si>
  <si>
    <t>ESF projekts Atbalsts priekšlaicīgas mācību pārtraukšanas samazināšanai ©</t>
  </si>
  <si>
    <t>10.2.14.</t>
  </si>
  <si>
    <t>SAM 5.5.1. Kultūras objektu būvniecība ©</t>
  </si>
  <si>
    <t>10.2.15.</t>
  </si>
  <si>
    <t>ES projekts Eiropa pilsoņiem (diskriminētām personām) ©</t>
  </si>
  <si>
    <t>10.2.16.</t>
  </si>
  <si>
    <t>ERASMUS + projekti</t>
  </si>
  <si>
    <t>10.2.17.</t>
  </si>
  <si>
    <t xml:space="preserve"> ”Mobilitātes punkta infrastruktūras izveidošana Rīgas metropoles areālā – “Carnikava””</t>
  </si>
  <si>
    <t>10.2.18.</t>
  </si>
  <si>
    <t>Maģistrālā  veloceļa izbūve Rīga-Carnikava</t>
  </si>
  <si>
    <t>10.2.19.</t>
  </si>
  <si>
    <t>Ģimenes ārsta prakses izveide_Garā iela 20 (ERAF, SAM 9.3.2. 4.kārta)</t>
  </si>
  <si>
    <t>10.2.20.</t>
  </si>
  <si>
    <t>EKII projekts</t>
  </si>
  <si>
    <t>10.2.21.</t>
  </si>
  <si>
    <t>Katlu mājas pārbūve Carnikavā, Tulpju iela 5</t>
  </si>
  <si>
    <t>18.6.4.0.</t>
  </si>
  <si>
    <t>10.3.</t>
  </si>
  <si>
    <t>IIN budžeta dotācija</t>
  </si>
  <si>
    <t>11.</t>
  </si>
  <si>
    <t>Pašvaldību budžeta transferti</t>
  </si>
  <si>
    <t>19.2.1.0.</t>
  </si>
  <si>
    <t>11.1.</t>
  </si>
  <si>
    <t>no citām pašvaldībām izglītības funkciju nodrošināšanai</t>
  </si>
  <si>
    <t>19.2.2.0.</t>
  </si>
  <si>
    <t>11.2.</t>
  </si>
  <si>
    <t>citi ieņēmumi no citām pašvaldībam</t>
  </si>
  <si>
    <t>12.</t>
  </si>
  <si>
    <t>Budžeta iestāžu ieņēmumi</t>
  </si>
  <si>
    <t>21.3.5.0.</t>
  </si>
  <si>
    <t>12.1.</t>
  </si>
  <si>
    <t>maksa par izglītības pakalpojumiem</t>
  </si>
  <si>
    <t>21.3.5.2.</t>
  </si>
  <si>
    <t>12.1.1.</t>
  </si>
  <si>
    <t>ieņēmumi no vecāku maksām (PII)</t>
  </si>
  <si>
    <t>21.3.5.9.</t>
  </si>
  <si>
    <t>12.1.2.</t>
  </si>
  <si>
    <t>ieņēmumi no vecāku maksām (ĀMMS; BJSS)</t>
  </si>
  <si>
    <t>12.2.</t>
  </si>
  <si>
    <t>pārrobežu projektu ieņēmumi ©</t>
  </si>
  <si>
    <t>12.2.1.</t>
  </si>
  <si>
    <t>ES Padomes projekts LIFE COHABIT ©</t>
  </si>
  <si>
    <t>0630.2</t>
  </si>
  <si>
    <t>12.2.2.</t>
  </si>
  <si>
    <t>pārrobežu EST-LAT projekts "Militārais mantojums</t>
  </si>
  <si>
    <t>21.3.8.0.</t>
  </si>
  <si>
    <t>12.3.</t>
  </si>
  <si>
    <t>ieņēmumi par nomu un īri</t>
  </si>
  <si>
    <t>21.3.8.1.</t>
  </si>
  <si>
    <t>12.3.1.</t>
  </si>
  <si>
    <t>ieņēmumi par telpu nomu</t>
  </si>
  <si>
    <t>21.3.8.4.</t>
  </si>
  <si>
    <t>12.3.2.</t>
  </si>
  <si>
    <t>ieņēmumi par zemes nomu</t>
  </si>
  <si>
    <t>12.3.3.</t>
  </si>
  <si>
    <t>pārējie ieņēmumi par nomu ©</t>
  </si>
  <si>
    <t>21.3.9.0.</t>
  </si>
  <si>
    <t>12.4.</t>
  </si>
  <si>
    <t>budžeta iestāžu maksas pakalpojumi</t>
  </si>
  <si>
    <t>0812</t>
  </si>
  <si>
    <t>12.4.1.</t>
  </si>
  <si>
    <t>12.4.2.</t>
  </si>
  <si>
    <t>ieņēmumi no biļešu realizācijas</t>
  </si>
  <si>
    <t>12.4.3.</t>
  </si>
  <si>
    <t>ieņēmumi no dzīvokļu un komunālajiem pakalpojumiem ©</t>
  </si>
  <si>
    <t>21.3.5.9.; 21.4.9.9.</t>
  </si>
  <si>
    <t>12.6.</t>
  </si>
  <si>
    <t>pārējie ieņēmumi/stāvvietu ieņēmumi</t>
  </si>
  <si>
    <t>KOPĀ IEŅĒMUMI:</t>
  </si>
  <si>
    <t>13.</t>
  </si>
  <si>
    <t>Naudas līdzekļu atlikums gada sākumā</t>
  </si>
  <si>
    <t>13.1.</t>
  </si>
  <si>
    <t>Naudas atlikums iezīmētiem mērķiem</t>
  </si>
  <si>
    <t>13.2.</t>
  </si>
  <si>
    <t>Naudas atlikums pašvaldības līdzekļi</t>
  </si>
  <si>
    <t xml:space="preserve">14. </t>
  </si>
  <si>
    <t>Valsts Kases kredīti</t>
  </si>
  <si>
    <t>14.1.</t>
  </si>
  <si>
    <t>14.2.</t>
  </si>
  <si>
    <t>14.3.</t>
  </si>
  <si>
    <t xml:space="preserve"> "Auto stāvlaukuma Lilastē paplašināšana, atpūtas vietu, labiekārtojuma, labierīcību, kempinga iespēju projektēšana un izbūve" ©</t>
  </si>
  <si>
    <t>F40321210</t>
  </si>
  <si>
    <t>14.4.</t>
  </si>
  <si>
    <t>SAM 5.1.1. Pretplūdu pasākumi Ādažu centra polderī, Ādažu novadā</t>
  </si>
  <si>
    <t>14.5.</t>
  </si>
  <si>
    <t>14.6.</t>
  </si>
  <si>
    <t>Carnikavas stadiona rekonstrukcija</t>
  </si>
  <si>
    <t>14.7.</t>
  </si>
  <si>
    <t>Ādažu vidusskolas ēkas B korpusa un savienojuma daļas starp korpusiem (C un B) fasādes atjaunošana</t>
  </si>
  <si>
    <t>14.8.</t>
  </si>
  <si>
    <t>Kalngales NAI pārbūve</t>
  </si>
  <si>
    <t>14.9.</t>
  </si>
  <si>
    <t>14.10.</t>
  </si>
  <si>
    <t>14.11.</t>
  </si>
  <si>
    <t>Ķiršu ielas III kārta no Saules ielas līdz Attekas ielai 0.17km</t>
  </si>
  <si>
    <t>14.12.</t>
  </si>
  <si>
    <t>Draudzības iela posmā no Saules ielai līdz Podnieku ielai ar ietvi 0.35km</t>
  </si>
  <si>
    <t>PAVISAM KOPĀ IEŅĒMUMI:</t>
  </si>
  <si>
    <t xml:space="preserve">Izdevumu daļa </t>
  </si>
  <si>
    <t>Komentāri</t>
  </si>
  <si>
    <t>Vispārējie valdības dienesti</t>
  </si>
  <si>
    <t>0110</t>
  </si>
  <si>
    <t>pārvalde</t>
  </si>
  <si>
    <t>0111</t>
  </si>
  <si>
    <t>deputāti</t>
  </si>
  <si>
    <t>0130</t>
  </si>
  <si>
    <t>1.3.</t>
  </si>
  <si>
    <t>administratīvā komisija</t>
  </si>
  <si>
    <t>0140</t>
  </si>
  <si>
    <t>1.4.</t>
  </si>
  <si>
    <t>iepirkumu komisija</t>
  </si>
  <si>
    <t>0120</t>
  </si>
  <si>
    <t>1.5.</t>
  </si>
  <si>
    <t>vēlēšanu komisija</t>
  </si>
  <si>
    <t>0150</t>
  </si>
  <si>
    <t>1.6.</t>
  </si>
  <si>
    <t>pārējās komisijas</t>
  </si>
  <si>
    <t>1.7.</t>
  </si>
  <si>
    <t>aizņēmumu procentu maksājumi</t>
  </si>
  <si>
    <t>1.8.</t>
  </si>
  <si>
    <t>Iemaksas PFIF</t>
  </si>
  <si>
    <t>0170</t>
  </si>
  <si>
    <t>1.9.</t>
  </si>
  <si>
    <t>Informācijas tehnoloģiju nodaļa, vispārējas nozīmes dienestu darbība un pakalpojumi - datortīkla uzturēšana ©</t>
  </si>
  <si>
    <t>Pārējie vispārēja rakstura transferti</t>
  </si>
  <si>
    <t>0610</t>
  </si>
  <si>
    <t>Izdevumi neparedzētiem gadījumiem</t>
  </si>
  <si>
    <t>0340</t>
  </si>
  <si>
    <t>Sabiedriskā kārtība un drošība</t>
  </si>
  <si>
    <t>Ekonomiskā darbība</t>
  </si>
  <si>
    <t>0490</t>
  </si>
  <si>
    <t>Sabiedriskās attiecības, laikraksts</t>
  </si>
  <si>
    <t>4.1.1.</t>
  </si>
  <si>
    <t>Sabiedrisko attiecību nodaļa</t>
  </si>
  <si>
    <t>4.1.2.</t>
  </si>
  <si>
    <t>Ādažu vēstis</t>
  </si>
  <si>
    <t>0420</t>
  </si>
  <si>
    <t>Autoceļu fonds</t>
  </si>
  <si>
    <t>Vides aizsardzība</t>
  </si>
  <si>
    <t>0510</t>
  </si>
  <si>
    <t>Dabas resursu nodokļa izlietojums</t>
  </si>
  <si>
    <t>Pašvaldības teritoriju un mājokļu apsaimniekošana</t>
  </si>
  <si>
    <t>0620</t>
  </si>
  <si>
    <t>Būvvalde</t>
  </si>
  <si>
    <t>0660</t>
  </si>
  <si>
    <t>Teritorijas plānošanas nodaļa</t>
  </si>
  <si>
    <t>6.3.</t>
  </si>
  <si>
    <t>Attīstības un projektu nodaļa</t>
  </si>
  <si>
    <t>6.3.1.</t>
  </si>
  <si>
    <t>nodaļa</t>
  </si>
  <si>
    <t>Life CoHabit projekts noslēdzies - 2) EUR 5033 Gaujas-Baltezera projekta realizācijai (Lēmums #82)</t>
  </si>
  <si>
    <t>0630.1</t>
  </si>
  <si>
    <t>6.3.2.</t>
  </si>
  <si>
    <t>Projekts "Sabiedrība ar dvēseli"</t>
  </si>
  <si>
    <t>6.3.3.</t>
  </si>
  <si>
    <t>Iedzīvotāju iniciatīvas un konkursi.</t>
  </si>
  <si>
    <t>0632.5</t>
  </si>
  <si>
    <t>6.3.4.</t>
  </si>
  <si>
    <t>TEP “Atjaunojamo energoresursu izmantošana Ādažu novadā” (EUCF)</t>
  </si>
  <si>
    <t>EUR 18'000 no atlikuma uz TEP “Atjaunojamo energoresursu izmantošana Ādažu novadā” (EUCF) projektu priekšfinansējumam. (Lēmums #164)</t>
  </si>
  <si>
    <t>0633.1</t>
  </si>
  <si>
    <t>6.3.5.</t>
  </si>
  <si>
    <t>”Mobilitātes punkta infrastruktūras izveidošana Rīgas metropoles areālā – “Carnikava””</t>
  </si>
  <si>
    <t>0633.2</t>
  </si>
  <si>
    <t>6.3.6.</t>
  </si>
  <si>
    <t>0632.4</t>
  </si>
  <si>
    <t>6.3.7.</t>
  </si>
  <si>
    <t>6.3.8.</t>
  </si>
  <si>
    <t xml:space="preserve">  ES Padomes projekts LIFE COHABIT ©</t>
  </si>
  <si>
    <t>Life CoHabit projekts noslēdzies - 1) EUR 18'000 no atlikuma uz TEP “Atjaunojamo energoresursu izmantošana Ādažu novadā” (EUCF) projektu priekšfinansējumam. (Lēmums #164)
2) EUR 5033 Gaujas-Baltezera projekta realizācijai (Lēmums #82)</t>
  </si>
  <si>
    <t>6.3.9.</t>
  </si>
  <si>
    <t>Pārrobežu EST-LAT projekts "Militārais mantojums ©</t>
  </si>
  <si>
    <t>0633.5</t>
  </si>
  <si>
    <t>6.3.10.</t>
  </si>
  <si>
    <t>6.4.</t>
  </si>
  <si>
    <t>Objektu un teritorijas apsaimniekošana un uzturēšana</t>
  </si>
  <si>
    <t>6.4.1.</t>
  </si>
  <si>
    <t>Nekustamo īpašumu uzturēšana (Ā)</t>
  </si>
  <si>
    <t>0670</t>
  </si>
  <si>
    <t>6.4.2.</t>
  </si>
  <si>
    <t xml:space="preserve">Nekustamā īpašumas nodaļa </t>
  </si>
  <si>
    <t>0649</t>
  </si>
  <si>
    <t>6.4.3.</t>
  </si>
  <si>
    <t>Mežaparka ceļš (Ā)</t>
  </si>
  <si>
    <t>6.4.4.</t>
  </si>
  <si>
    <t>CKS_apsaimniek</t>
  </si>
  <si>
    <t>6.4.5.</t>
  </si>
  <si>
    <t>Pašvaldības aģentūra "Carnikavas Komunālserviss"</t>
  </si>
  <si>
    <t>6.4.6.</t>
  </si>
  <si>
    <t>P/A "Carnikavas komunālserviss" teritorijas un īpašumu apsaimniekošana</t>
  </si>
  <si>
    <t>6.4.6.1</t>
  </si>
  <si>
    <t>Dotācija CKS teritorijas uzturēšanai</t>
  </si>
  <si>
    <t>6.4.6.2</t>
  </si>
  <si>
    <t>Dotācija CKS ceļu uzturēšanai</t>
  </si>
  <si>
    <t>6.4.6.3</t>
  </si>
  <si>
    <t>Teritorijas uzturēšana (Dome)</t>
  </si>
  <si>
    <t>0650_4</t>
  </si>
  <si>
    <t>6.4.7.</t>
  </si>
  <si>
    <t>Ceļu, ielu infrastruktūras attīstības programma  - pašvaldības ieguldījums ©</t>
  </si>
  <si>
    <t>0633.3</t>
  </si>
  <si>
    <t>6.4.8.</t>
  </si>
  <si>
    <t>6.4.9.</t>
  </si>
  <si>
    <t>Rasiņu ielas seguma atjaunošana</t>
  </si>
  <si>
    <t>6.4.10.</t>
  </si>
  <si>
    <t>6.4.11.</t>
  </si>
  <si>
    <t>6.4.12.</t>
  </si>
  <si>
    <t>6.4.13.</t>
  </si>
  <si>
    <t>6.4.14.</t>
  </si>
  <si>
    <t>0633.4</t>
  </si>
  <si>
    <t>6.4.15.</t>
  </si>
  <si>
    <t>KF Ūdenssaimniecības projekts Carnikavā, 3.kārta ©</t>
  </si>
  <si>
    <t>Atpūta, kultūra un reliģija</t>
  </si>
  <si>
    <t>Kultūra</t>
  </si>
  <si>
    <t>0841.1</t>
  </si>
  <si>
    <t>7.1.1.</t>
  </si>
  <si>
    <t xml:space="preserve">Ādažu kultūras centrs </t>
  </si>
  <si>
    <t>0841.2</t>
  </si>
  <si>
    <t>7.1.2.</t>
  </si>
  <si>
    <t>Tautas nams "Ozolaine" ©</t>
  </si>
  <si>
    <t>0841.3</t>
  </si>
  <si>
    <t>7.1.3.</t>
  </si>
  <si>
    <t>Muzejs un Carnikavas novadpētniecības centrs</t>
  </si>
  <si>
    <t>0841.4</t>
  </si>
  <si>
    <t>Dziesmu svētki 2023</t>
  </si>
  <si>
    <t>0844.1</t>
  </si>
  <si>
    <t>7.3.</t>
  </si>
  <si>
    <t>SAM 5.5.1. Kultūras objektu būvniecība (maksājumi projekta partneriem) ©</t>
  </si>
  <si>
    <t>0844.2</t>
  </si>
  <si>
    <t>7.4.</t>
  </si>
  <si>
    <t>0830</t>
  </si>
  <si>
    <t>7.5.</t>
  </si>
  <si>
    <t xml:space="preserve">Ādažu bibliotēka </t>
  </si>
  <si>
    <t>0831</t>
  </si>
  <si>
    <t>7.6.</t>
  </si>
  <si>
    <t xml:space="preserve">Carnikavas bibliotēka </t>
  </si>
  <si>
    <t>7.8.</t>
  </si>
  <si>
    <t>Sporta daļa</t>
  </si>
  <si>
    <t>0880</t>
  </si>
  <si>
    <t>7.9.</t>
  </si>
  <si>
    <t>Evaņģēliski luteriskās draudzes</t>
  </si>
  <si>
    <t>0843</t>
  </si>
  <si>
    <t>7.10.</t>
  </si>
  <si>
    <t>Multihalle</t>
  </si>
  <si>
    <t>Sociālā aizsardzība</t>
  </si>
  <si>
    <t>Sociālais dienests</t>
  </si>
  <si>
    <t>8.1.1.</t>
  </si>
  <si>
    <t xml:space="preserve">Sociālās funkcijas nodrošināšana </t>
  </si>
  <si>
    <t>8.1.2.</t>
  </si>
  <si>
    <t>Pabalsti</t>
  </si>
  <si>
    <t>8.1.3.</t>
  </si>
  <si>
    <t>Mērķdotācija</t>
  </si>
  <si>
    <t>8.1.5.</t>
  </si>
  <si>
    <t>Asistentu pakalpojumi</t>
  </si>
  <si>
    <t>8.1.6.</t>
  </si>
  <si>
    <t>Sociālā centra "Kadiķis" uzturēšana</t>
  </si>
  <si>
    <t>Stipendiāti / bezdarbnieki</t>
  </si>
  <si>
    <t>8.2.1.</t>
  </si>
  <si>
    <t>Domes finansējums</t>
  </si>
  <si>
    <t>8.2.2.</t>
  </si>
  <si>
    <t>NVA finansējums</t>
  </si>
  <si>
    <t>SAM 9311 Deinstitucionalizācija - Dienas centrs</t>
  </si>
  <si>
    <t>1014.3</t>
  </si>
  <si>
    <t>8.3.1.</t>
  </si>
  <si>
    <t>DI centra uzturēšanas izdevumi</t>
  </si>
  <si>
    <t>8.3.2.</t>
  </si>
  <si>
    <t>DI projekts- specializētās darbnīcas</t>
  </si>
  <si>
    <t>1014.1</t>
  </si>
  <si>
    <t>8.3.3.</t>
  </si>
  <si>
    <t>DI centra pakalpojumi (projekts)</t>
  </si>
  <si>
    <t>8.4.</t>
  </si>
  <si>
    <t>Bāriņtiesa</t>
  </si>
  <si>
    <t>8.5.</t>
  </si>
  <si>
    <t>8.6.</t>
  </si>
  <si>
    <t>1013.1</t>
  </si>
  <si>
    <t>8.7.</t>
  </si>
  <si>
    <t>SAM 9.2.4.2. projekts "Pasākumi vietējās sabiedrības veselības veicināšanai Ādažu novada pašvaldības Ādažu pagastā"</t>
  </si>
  <si>
    <t>1013.2</t>
  </si>
  <si>
    <t>8.8.</t>
  </si>
  <si>
    <t>SAM 9.2.4.2. projekts "Pasākumi vietējās sabiedrības veselības veicināšanai Ādažu novada pašvaldības Carnikavas pagastā"</t>
  </si>
  <si>
    <t>Izglītība</t>
  </si>
  <si>
    <t>7210 (0940; 0970)</t>
  </si>
  <si>
    <t>9.1.</t>
  </si>
  <si>
    <t>Norēķini ar pašvaldību budžetiem par izglītības iestāžu pakalpojumiem</t>
  </si>
  <si>
    <t>9.2.</t>
  </si>
  <si>
    <t>Ādažu Pirmsskolas izglītības iestāde</t>
  </si>
  <si>
    <t>0911</t>
  </si>
  <si>
    <t>9.2.1.</t>
  </si>
  <si>
    <t>pedagogu algas, grāmatas (mērķdotācija)</t>
  </si>
  <si>
    <t>0910</t>
  </si>
  <si>
    <t>9.2.2.</t>
  </si>
  <si>
    <t>pārējās izmaksas</t>
  </si>
  <si>
    <t>9.3.</t>
  </si>
  <si>
    <t>Kadagas PII</t>
  </si>
  <si>
    <t>0921</t>
  </si>
  <si>
    <t>9.3.1.</t>
  </si>
  <si>
    <t>0920</t>
  </si>
  <si>
    <t>9.3.2.</t>
  </si>
  <si>
    <t>9.4.</t>
  </si>
  <si>
    <t>Pirmsskolas izglītības iestāde "Riekstiņš"</t>
  </si>
  <si>
    <t>09011</t>
  </si>
  <si>
    <t>9.4.1.</t>
  </si>
  <si>
    <t>0901; 650_0901</t>
  </si>
  <si>
    <t>9.4.2.</t>
  </si>
  <si>
    <t>9.4.3.</t>
  </si>
  <si>
    <t>uzturēšanas izmaksas (CKS)</t>
  </si>
  <si>
    <t>0902; 650_0902</t>
  </si>
  <si>
    <t>9.5.</t>
  </si>
  <si>
    <t>Pirmsskolas izglītības iestādes "Piejūra"</t>
  </si>
  <si>
    <t>09021</t>
  </si>
  <si>
    <t>9.5.1.</t>
  </si>
  <si>
    <t>9.5.2.</t>
  </si>
  <si>
    <t>9.5.3.</t>
  </si>
  <si>
    <t>9.6.</t>
  </si>
  <si>
    <t>Privātās izglītības iestādes</t>
  </si>
  <si>
    <t>0970</t>
  </si>
  <si>
    <t>9.6.1.</t>
  </si>
  <si>
    <t>ĀBVS</t>
  </si>
  <si>
    <t>0940</t>
  </si>
  <si>
    <t>9.6.2.</t>
  </si>
  <si>
    <t>Privātās skolas</t>
  </si>
  <si>
    <t>9.6.3.</t>
  </si>
  <si>
    <t>Pārējās privātās PII</t>
  </si>
  <si>
    <t>9.7.</t>
  </si>
  <si>
    <t>Carnikavas pamatskola</t>
  </si>
  <si>
    <t>09821</t>
  </si>
  <si>
    <t>9.7.1.</t>
  </si>
  <si>
    <t>9.7.2.</t>
  </si>
  <si>
    <t>ēdināšana (mērķdotācija)</t>
  </si>
  <si>
    <t>0982; 0650_0982</t>
  </si>
  <si>
    <t>9.7.3.</t>
  </si>
  <si>
    <t>9.7.4.</t>
  </si>
  <si>
    <t>09822</t>
  </si>
  <si>
    <t>9.7.5.</t>
  </si>
  <si>
    <t>projekts "Skolas soma"</t>
  </si>
  <si>
    <t>09825</t>
  </si>
  <si>
    <t>9.7.6.</t>
  </si>
  <si>
    <t>projekts Erasmus+</t>
  </si>
  <si>
    <t>0982</t>
  </si>
  <si>
    <t>9.7.7.</t>
  </si>
  <si>
    <t>mācību vides labiekārtošana</t>
  </si>
  <si>
    <t>09823</t>
  </si>
  <si>
    <t>9.8.</t>
  </si>
  <si>
    <t>9.9.</t>
  </si>
  <si>
    <t>Ādažu vidusskola</t>
  </si>
  <si>
    <t>0954</t>
  </si>
  <si>
    <t>9.9.1.</t>
  </si>
  <si>
    <t>0950</t>
  </si>
  <si>
    <t>9.9.2.</t>
  </si>
  <si>
    <t>1. EUR 7'900 IZM piegādāto ChromeBook (IZM projekts datori 7-9 kl. skolēniem) uzglabāšanas, uzlādes skapji 5 gb. (32 datori vienā skapī). Šos no EKK 5238 uz EKK 5240.
2. EUR 10'864 SIA "Ādažu Namsaimnieks" dividendes, novirzīt caur 0950 izdevumi vidussk.apkures sist.pāreja uz atjaunoj.energoresursiem, Domes lēmums Nr.215.</t>
  </si>
  <si>
    <t>0957</t>
  </si>
  <si>
    <t>9.9.3.</t>
  </si>
  <si>
    <t>0951</t>
  </si>
  <si>
    <t>9.9.4.</t>
  </si>
  <si>
    <t>9.9.5.</t>
  </si>
  <si>
    <t>0981</t>
  </si>
  <si>
    <t>9.9.6.</t>
  </si>
  <si>
    <t>sākumskolas uzturēšanas izmaksas</t>
  </si>
  <si>
    <t>1. EUR 7'000 no apkures izmaksām (EKK 2221) uz EKK 5239 boilera uzstādīšanai, SIA "Namsaimnieks" nenodrošina silto ūdeni ārpus apkures sezonai.
2. EUR 166'307 pusdienu līdzfinansējums 1.-4.kl. (EKK korekcija)</t>
  </si>
  <si>
    <t>9.9.7.</t>
  </si>
  <si>
    <t>sākumskolas ēdināšana (mērķdotācija)</t>
  </si>
  <si>
    <t>9.9.8.</t>
  </si>
  <si>
    <t xml:space="preserve">PII </t>
  </si>
  <si>
    <t>0952.1</t>
  </si>
  <si>
    <t>9.9.8.1.</t>
  </si>
  <si>
    <t>- pedagogu algas (mērķdotācija)</t>
  </si>
  <si>
    <t>0952</t>
  </si>
  <si>
    <t>9.9.8.2.</t>
  </si>
  <si>
    <t>-  uzturēšana</t>
  </si>
  <si>
    <t>9.10.</t>
  </si>
  <si>
    <t>Ādažu novada  Mākslu skola</t>
  </si>
  <si>
    <t>9.10.1.</t>
  </si>
  <si>
    <t>pedagogu algas (mērķdotācija)</t>
  </si>
  <si>
    <t>9.10.2.</t>
  </si>
  <si>
    <t>9.11.</t>
  </si>
  <si>
    <t>Sporta skola</t>
  </si>
  <si>
    <t>09651</t>
  </si>
  <si>
    <t>9.11.1.</t>
  </si>
  <si>
    <t>0965</t>
  </si>
  <si>
    <t>9.11.2.</t>
  </si>
  <si>
    <t>Pašvaldības finansējums</t>
  </si>
  <si>
    <t>0930</t>
  </si>
  <si>
    <t>9.12.</t>
  </si>
  <si>
    <t xml:space="preserve">Izglītības un jauniešu lietu pārvalde </t>
  </si>
  <si>
    <t>9.13.</t>
  </si>
  <si>
    <t>Aktivitātes jauniešiem, jauniešu projektu konkurss</t>
  </si>
  <si>
    <t>0931</t>
  </si>
  <si>
    <t>9.14.</t>
  </si>
  <si>
    <t>ESF projekts Atbalsts priekšlaicīgas mācību pārtraukšanas samazināšanai © (Pumpurs)</t>
  </si>
  <si>
    <t>0932</t>
  </si>
  <si>
    <t>9.15.</t>
  </si>
  <si>
    <t>0933</t>
  </si>
  <si>
    <t>9.16.</t>
  </si>
  <si>
    <t>Valsts finansējums projektu konkursā "Atbalsts jaunatnes politikas īstenošanai vietējā līmenī"  projekts "Mobilais darbs ar jaunatni Ādažu novadā"</t>
  </si>
  <si>
    <t>9.17.</t>
  </si>
  <si>
    <t>0956</t>
  </si>
  <si>
    <t>9.17.1.</t>
  </si>
  <si>
    <t>Ādaži</t>
  </si>
  <si>
    <t>09824</t>
  </si>
  <si>
    <t>9.17.2.</t>
  </si>
  <si>
    <t>Carnikava</t>
  </si>
  <si>
    <t>10</t>
  </si>
  <si>
    <t>Ieguldījumi uzņēmumu pamatkapitālā</t>
  </si>
  <si>
    <t>SIA "Ādažu ūdens"</t>
  </si>
  <si>
    <t>SIA "Garkalnes ūdens"</t>
  </si>
  <si>
    <t>KOPĀ IZDEVUMI:</t>
  </si>
  <si>
    <t>Kredītu pamatsummas atmaksa</t>
  </si>
  <si>
    <t>PAVISAM KOPĀ IZDEVUMI:</t>
  </si>
  <si>
    <t>-</t>
  </si>
  <si>
    <t>Naudas līdzekļu atlikums uz gada beigām</t>
  </si>
  <si>
    <t>4.pielikums</t>
  </si>
  <si>
    <t>2018.gada 23.janvāra</t>
  </si>
  <si>
    <t>saistošajiem noteikumiem Nr.2/2019</t>
  </si>
  <si>
    <t>Ādažu pašvaldības aizņēmumu un citu ilgtermiņa saistību pārskats</t>
  </si>
  <si>
    <t>Aizdevumu pamatsummu un procentu atmaksa faktiskajiem un plānotajiem aizņēmumiem.</t>
  </si>
  <si>
    <t>Aizdevuma mērķis</t>
  </si>
  <si>
    <t>Līguma Nr.</t>
  </si>
  <si>
    <t>Trānčes Nr.</t>
  </si>
  <si>
    <t>Līguma dat.</t>
  </si>
  <si>
    <t>Līguma termiņš</t>
  </si>
  <si>
    <t>Līgumsumma LVL</t>
  </si>
  <si>
    <t>Līgumsumma EUR</t>
  </si>
  <si>
    <t>Saņemts LVL</t>
  </si>
  <si>
    <t>Saņemts EUR</t>
  </si>
  <si>
    <t>% likme</t>
  </si>
  <si>
    <t>Aizdevuma apkalpošanas likme</t>
  </si>
  <si>
    <t>% maksājumu reizes gadā</t>
  </si>
  <si>
    <t>Izmaksāts no VK 2010.gadā</t>
  </si>
  <si>
    <t>Atlikums uz 01.01.2010.</t>
  </si>
  <si>
    <t>Atlikusī pamatsumma EUR uz 31/12/2014</t>
  </si>
  <si>
    <t>Atlikusī pamatsumma EUR uz 31/12/2015</t>
  </si>
  <si>
    <t>Veids</t>
  </si>
  <si>
    <t>Atlikums 31.12.2019.</t>
  </si>
  <si>
    <t>Kopā 2020. gadā</t>
  </si>
  <si>
    <t>Kopā 2021. gadā</t>
  </si>
  <si>
    <t>Kopā 2022. gadā</t>
  </si>
  <si>
    <t>Kopā 2023. gadā</t>
  </si>
  <si>
    <t>Kopā 2024. gadā</t>
  </si>
  <si>
    <t>Kopā 2025. gadā</t>
  </si>
  <si>
    <t>Kopā 2026. gadā</t>
  </si>
  <si>
    <t>Kopā 2027. gadā</t>
  </si>
  <si>
    <t>Kopā 2028. gadā</t>
  </si>
  <si>
    <t>Kopā 2029. gadā</t>
  </si>
  <si>
    <t>No 2030. - 2051.</t>
  </si>
  <si>
    <t>Kopsumma no 2023. - 2051.</t>
  </si>
  <si>
    <t>Stabilizācijas aizdevums -</t>
  </si>
  <si>
    <t>A2/1/11/107</t>
  </si>
  <si>
    <t>P-50/2011</t>
  </si>
  <si>
    <t>01.03.2011</t>
  </si>
  <si>
    <t>11.04.2011.</t>
  </si>
  <si>
    <t>20.04.2036.</t>
  </si>
  <si>
    <t>pamats.</t>
  </si>
  <si>
    <t>1.kārtas 2.posms</t>
  </si>
  <si>
    <t>%</t>
  </si>
  <si>
    <t>A2/1/11/549</t>
  </si>
  <si>
    <t>P-350/2011</t>
  </si>
  <si>
    <t>20.12.2031.</t>
  </si>
  <si>
    <t xml:space="preserve"> 1.kārtas 3.posms</t>
  </si>
  <si>
    <t>Stabilizācijas aizdevums - 2.k. 1.p.</t>
  </si>
  <si>
    <t>A2/1/12/328</t>
  </si>
  <si>
    <t>P-219/2012</t>
  </si>
  <si>
    <t>25.03.2032.</t>
  </si>
  <si>
    <t>Kohēzijas projekts</t>
  </si>
  <si>
    <t>Stabilizācijas aizdevums - 2.k. 2.p.</t>
  </si>
  <si>
    <t>A2/1/13/1000</t>
  </si>
  <si>
    <t>P-441/2013</t>
  </si>
  <si>
    <t>25.11.2023.</t>
  </si>
  <si>
    <t>Kohēzijas projekts II kārta</t>
  </si>
  <si>
    <t xml:space="preserve">Gaujas ielas rekonstrukcija </t>
  </si>
  <si>
    <t>A2/1/17/301</t>
  </si>
  <si>
    <t>P-196/2017</t>
  </si>
  <si>
    <t>19.05.2017.</t>
  </si>
  <si>
    <t>20.05.2032.</t>
  </si>
  <si>
    <t>1.-3.kārta</t>
  </si>
  <si>
    <t>Gaujas ielas rekonstrukcijai</t>
  </si>
  <si>
    <t>A2/1/17/596</t>
  </si>
  <si>
    <t>P-450/2017</t>
  </si>
  <si>
    <t>21.08.2017.</t>
  </si>
  <si>
    <t>20.08.2032.</t>
  </si>
  <si>
    <t>4.kārta</t>
  </si>
  <si>
    <t>Ādažu vidusskolas remonts</t>
  </si>
  <si>
    <t>A2/1/17/468</t>
  </si>
  <si>
    <t>P-330/2017</t>
  </si>
  <si>
    <t>04.07.2017.</t>
  </si>
  <si>
    <t>20.06.2023</t>
  </si>
  <si>
    <t>30.08.2017.</t>
  </si>
  <si>
    <t>88'266+46'627</t>
  </si>
  <si>
    <t>Jaunās skolas būvniecībai</t>
  </si>
  <si>
    <t xml:space="preserve">A2/1/16/451 </t>
  </si>
  <si>
    <t>P-328/2016</t>
  </si>
  <si>
    <t>25.10.2016.</t>
  </si>
  <si>
    <t>20.10.2021.</t>
  </si>
  <si>
    <t>Būvprojekta izstrāde un autoruzraudzība</t>
  </si>
  <si>
    <t>A2/1/17/640</t>
  </si>
  <si>
    <t>P-481/2017</t>
  </si>
  <si>
    <t>31.08.2017.</t>
  </si>
  <si>
    <t>20.08.2022.</t>
  </si>
  <si>
    <t>Ekspertīze</t>
  </si>
  <si>
    <t>A2/1/18/123</t>
  </si>
  <si>
    <t>P-94/2018</t>
  </si>
  <si>
    <t>03.04.2018.</t>
  </si>
  <si>
    <t>20.06.2048.</t>
  </si>
  <si>
    <t>Būvniecība 1.,2.kārta</t>
  </si>
  <si>
    <t>A2/1/18/123-V/18/2</t>
  </si>
  <si>
    <t>A2/1/20/158</t>
  </si>
  <si>
    <t>P-119/2020</t>
  </si>
  <si>
    <t>29.04.2020.</t>
  </si>
  <si>
    <t>20.04.2048.</t>
  </si>
  <si>
    <t>Būvniecība 3.kārta izsniegts</t>
  </si>
  <si>
    <t>12m EURIBOR + fix daļa 2,143% (t.sk. 0,25% apk. m.)</t>
  </si>
  <si>
    <t>Gaujas ielas gājēju celiņa izbūve</t>
  </si>
  <si>
    <t>A2/1/22/165</t>
  </si>
  <si>
    <t>P-112/2022</t>
  </si>
  <si>
    <t>04.07.2022.</t>
  </si>
  <si>
    <t>20.06.2027.</t>
  </si>
  <si>
    <t>Muižas ielas rekonstrukcijai</t>
  </si>
  <si>
    <t>A2/1/18/711</t>
  </si>
  <si>
    <t>P-580/2018</t>
  </si>
  <si>
    <t>10.10.2018.</t>
  </si>
  <si>
    <t>20.09.2028.</t>
  </si>
  <si>
    <t>Ataru ceļa rekonstrukcija</t>
  </si>
  <si>
    <t>A2/1/20/411</t>
  </si>
  <si>
    <t>P-177/2020</t>
  </si>
  <si>
    <t>SAM 4.2.2. ĀPII</t>
  </si>
  <si>
    <t>A2/1/17/375</t>
  </si>
  <si>
    <t>P-258/2017</t>
  </si>
  <si>
    <t>08.06.2017.</t>
  </si>
  <si>
    <t>20.06.2022.</t>
  </si>
  <si>
    <t>Projektēšana</t>
  </si>
  <si>
    <t>A2/1/19/370</t>
  </si>
  <si>
    <t>P-236/2019</t>
  </si>
  <si>
    <t>09.10.2019.</t>
  </si>
  <si>
    <t>20.09.2034.</t>
  </si>
  <si>
    <t>Remontdarbi</t>
  </si>
  <si>
    <t>LAD projekts Laveru ceļš</t>
  </si>
  <si>
    <t>A2/1/18/304</t>
  </si>
  <si>
    <t>P-218/2018</t>
  </si>
  <si>
    <t>01.06.2018.</t>
  </si>
  <si>
    <t>20.05.2020.</t>
  </si>
  <si>
    <t xml:space="preserve">SAM 5.1.1. Pretplūdu pasākumi </t>
  </si>
  <si>
    <t>A2/1/17/641</t>
  </si>
  <si>
    <t>P-482/2017</t>
  </si>
  <si>
    <t>Ādažu centra polderī, Ādažu novadā (I kārta-projektēšana)</t>
  </si>
  <si>
    <t>Nr.A2/1/17/641 - V/18/1</t>
  </si>
  <si>
    <t>A2/1/19/421</t>
  </si>
  <si>
    <t>P-269/2019</t>
  </si>
  <si>
    <t>22.11.2019.</t>
  </si>
  <si>
    <t>20.11.2034.</t>
  </si>
  <si>
    <t xml:space="preserve">Ādažu centra polderī, Ādažu novadā </t>
  </si>
  <si>
    <t>13.3.</t>
  </si>
  <si>
    <t>A2/1/22/123</t>
  </si>
  <si>
    <t>P-70/2022</t>
  </si>
  <si>
    <t>31.05.2022.</t>
  </si>
  <si>
    <t>20.05.2037.</t>
  </si>
  <si>
    <t>13.4.</t>
  </si>
  <si>
    <t xml:space="preserve">ERAF projekta (Nr.5.1.1.0/17/I/009) “Novērst plūdu un krasta erozijas </t>
  </si>
  <si>
    <t>A2/1/22/582</t>
  </si>
  <si>
    <t>P-389/2022</t>
  </si>
  <si>
    <t>23.12.2022.</t>
  </si>
  <si>
    <t>21.12.2037.</t>
  </si>
  <si>
    <t>risku apdraudējumu Ādažu novadā, pirmā daļa” īstenošanai</t>
  </si>
  <si>
    <t>Attekas ielas rekonstrukcija</t>
  </si>
  <si>
    <t>A2/1/18/644</t>
  </si>
  <si>
    <t>P-538/2018</t>
  </si>
  <si>
    <t>12.09.2018.</t>
  </si>
  <si>
    <t>20.09.2033.</t>
  </si>
  <si>
    <t xml:space="preserve">SAM 9311 Deinstitucionalizācija - </t>
  </si>
  <si>
    <t>A2/1/21/729</t>
  </si>
  <si>
    <t>P-556/2021</t>
  </si>
  <si>
    <t>02.12.2021.</t>
  </si>
  <si>
    <t>20.11.2040.</t>
  </si>
  <si>
    <t>Dienas centrs</t>
  </si>
  <si>
    <t xml:space="preserve"> Bukultu ielas rekonstrukcija</t>
  </si>
  <si>
    <t>A2/1/20/745</t>
  </si>
  <si>
    <t>P-393/2020</t>
  </si>
  <si>
    <t>13.10.2020.</t>
  </si>
  <si>
    <t>22.09.2025.</t>
  </si>
  <si>
    <t>03.11.2020.</t>
  </si>
  <si>
    <t>Ķiršu ielas rekonstrukcija</t>
  </si>
  <si>
    <t>A2/1/21/727</t>
  </si>
  <si>
    <t>P-558/2021</t>
  </si>
  <si>
    <t>20.11.2031.</t>
  </si>
  <si>
    <t>Pirmās ielas stāvlaukums pie ĀPII</t>
  </si>
  <si>
    <t>A2/1/21/632</t>
  </si>
  <si>
    <t>P-481/2021</t>
  </si>
  <si>
    <t>14.10.2021.</t>
  </si>
  <si>
    <t>21.09.2026.</t>
  </si>
  <si>
    <t>Mežaparka ceļa pārbūve</t>
  </si>
  <si>
    <t>A2/1/21/728</t>
  </si>
  <si>
    <t>P-557/2021</t>
  </si>
  <si>
    <t>Priežu ielas rekonstrukcija</t>
  </si>
  <si>
    <t>A2/1/20/746</t>
  </si>
  <si>
    <t>P-392/2020</t>
  </si>
  <si>
    <t xml:space="preserve">Skolas siltināšana un stadiona </t>
  </si>
  <si>
    <t>A2/1/22/250</t>
  </si>
  <si>
    <t xml:space="preserve">P-164/2022 </t>
  </si>
  <si>
    <t>03.08.2022.</t>
  </si>
  <si>
    <t>20.07.2032.</t>
  </si>
  <si>
    <t>rekonstrukcija</t>
  </si>
  <si>
    <t>PRIO</t>
  </si>
  <si>
    <t xml:space="preserve">Skolas ielas projektēšana izbūve - </t>
  </si>
  <si>
    <t>A2/1/22/239</t>
  </si>
  <si>
    <t>P-160/2022</t>
  </si>
  <si>
    <t>20.07.2022.</t>
  </si>
  <si>
    <t>20.07.2027.</t>
  </si>
  <si>
    <t>3.kārta</t>
  </si>
  <si>
    <t>Pārjaunojuma līgums visiem līgumiem līdz 2015.gadam</t>
  </si>
  <si>
    <r>
      <t xml:space="preserve">A2/1/19/50  </t>
    </r>
    <r>
      <rPr>
        <b/>
        <sz val="8"/>
        <rFont val="Times New Roman"/>
        <family val="1"/>
        <charset val="186"/>
      </rPr>
      <t xml:space="preserve"> </t>
    </r>
  </si>
  <si>
    <t>PP-5/2019</t>
  </si>
  <si>
    <t>05.03.2019.</t>
  </si>
  <si>
    <t>20.09.2035.</t>
  </si>
  <si>
    <t>Investīciju projektu īstenošanai (saistību pārjaunojums) Nr.A2/1/21/139 Trančes Nr.PP-14/2021</t>
  </si>
  <si>
    <t>A2/1/21/139</t>
  </si>
  <si>
    <t>PP-14/2021</t>
  </si>
  <si>
    <t>26.04.2021.</t>
  </si>
  <si>
    <t>21.06.2038.</t>
  </si>
  <si>
    <t xml:space="preserve">ELFLA projekts pievadceļu attīstība lauksaimniecības uzņēmumiem </t>
  </si>
  <si>
    <t>A2/1/18/139</t>
  </si>
  <si>
    <t>P-109/2018</t>
  </si>
  <si>
    <t>05.04.2018.</t>
  </si>
  <si>
    <t>22.03.2038.</t>
  </si>
  <si>
    <t xml:space="preserve">Komunālās saimniecības investīcijas transportam </t>
  </si>
  <si>
    <t>A2/1/18/252</t>
  </si>
  <si>
    <t>P-200/2018</t>
  </si>
  <si>
    <t>28.05.2018.</t>
  </si>
  <si>
    <t>20.05.2025.</t>
  </si>
  <si>
    <t>Būvprojekta "Kultūras un amatniecības centra pārbūve īpašumā "Blusas"" izstrāde</t>
  </si>
  <si>
    <t>A2/1/18/253</t>
  </si>
  <si>
    <t>P-201/2018</t>
  </si>
  <si>
    <t>22.05.2023.</t>
  </si>
  <si>
    <t>ERAF projekts Natura 2000 Atpūtas taka Carnikavā</t>
  </si>
  <si>
    <t>A2/1/18/254</t>
  </si>
  <si>
    <t>P-202/2018</t>
  </si>
  <si>
    <t>20.05.2038.</t>
  </si>
  <si>
    <t>ES Interreg Igaunijas - Latvijas projekts "Hiking Route Along the Baltic Sea Coastline in Latvia-Estonia"</t>
  </si>
  <si>
    <t>A2/1/18/255</t>
  </si>
  <si>
    <t>P-203/2018</t>
  </si>
  <si>
    <t>20.05.2033.</t>
  </si>
  <si>
    <t>Ceļu, ielu infrastruktūras programma1.kārta</t>
  </si>
  <si>
    <t>A2/1/18/251</t>
  </si>
  <si>
    <t>P-205/2018</t>
  </si>
  <si>
    <t>Prioritāro projektu īstenošana: bērnu rotaļu laukumi Carnikavas novadā</t>
  </si>
  <si>
    <t>A2/1/18/452</t>
  </si>
  <si>
    <t>P-374/2018</t>
  </si>
  <si>
    <t>12.07.2018.</t>
  </si>
  <si>
    <t>20.06.2028.</t>
  </si>
  <si>
    <t>Izglītības iestāžu investīciju projekts - Carnikavas izglītības iestādes būvniecība no moduļiem</t>
  </si>
  <si>
    <t>A2/1/18/528</t>
  </si>
  <si>
    <t>P-436/2018</t>
  </si>
  <si>
    <t>03.08.2018.</t>
  </si>
  <si>
    <t>20.07.2048.</t>
  </si>
  <si>
    <t>Izglītības iestāžu investīciju projekts - Piejūras PII būvniecība</t>
  </si>
  <si>
    <t>A2/1/18/529</t>
  </si>
  <si>
    <t>P-435/2018</t>
  </si>
  <si>
    <t>Ceļu, ielu infrastruktūras programma 2.kārta</t>
  </si>
  <si>
    <t>A2/1/18/611</t>
  </si>
  <si>
    <t>P-500/2018</t>
  </si>
  <si>
    <t>04.09.2018.</t>
  </si>
  <si>
    <t>20.08.2038.</t>
  </si>
  <si>
    <t>Ceļu, ielu infrastruktūras programma 3.kārta</t>
  </si>
  <si>
    <t>A2/1/18/643</t>
  </si>
  <si>
    <t>P-537/2018</t>
  </si>
  <si>
    <t>Ceļu, ielu infrastruktūras programma 4.kārta</t>
  </si>
  <si>
    <t>A2/1/18/777</t>
  </si>
  <si>
    <t>P-643/2018</t>
  </si>
  <si>
    <t>12.11.2018.</t>
  </si>
  <si>
    <t>20.10.2038.</t>
  </si>
  <si>
    <t xml:space="preserve">Prioritārais projekts Dambja būvniecība Valteru ielā </t>
  </si>
  <si>
    <t>A2/1/18/818</t>
  </si>
  <si>
    <t>P-666/2018</t>
  </si>
  <si>
    <t>21.11.2018.</t>
  </si>
  <si>
    <t>22.11.2038.</t>
  </si>
  <si>
    <t>ELFLA Eimuru - Mangaļu poldera meliorācijas grāvju atjaunošana Carnikavas novadā</t>
  </si>
  <si>
    <t>A2/1/19/57</t>
  </si>
  <si>
    <t>P-31/2019</t>
  </si>
  <si>
    <t>06.03.2019.</t>
  </si>
  <si>
    <t>20.02.2029.</t>
  </si>
  <si>
    <t>ERAF projekta SAM 3.3.1. Uzņēmējdarbības attīstībai nepieciešamās infrastruktūras attīstībai Carnikavas novada Garciemā" īstenošanai</t>
  </si>
  <si>
    <t>A2/1/19/225</t>
  </si>
  <si>
    <t>P-150/2019</t>
  </si>
  <si>
    <t>13.06.2019.</t>
  </si>
  <si>
    <t>20.05.2049.</t>
  </si>
  <si>
    <t>SAM 5.5.1. Kultūras objektu būvniecība</t>
  </si>
  <si>
    <t>A2/1/19/460</t>
  </si>
  <si>
    <t>P-292/2019</t>
  </si>
  <si>
    <t>11.12.2019.</t>
  </si>
  <si>
    <t>21.11.2039.</t>
  </si>
  <si>
    <t>Centrālbaltijas projekts "Coast4us"</t>
  </si>
  <si>
    <t>A2/1/20/586</t>
  </si>
  <si>
    <t>P-267/2020</t>
  </si>
  <si>
    <t>27.08.2020.</t>
  </si>
  <si>
    <t>20.08.2030.</t>
  </si>
  <si>
    <t>Carnikavas novada pašvaldības transporta infrstruktūras attīstība</t>
  </si>
  <si>
    <t>A2/1/20/676</t>
  </si>
  <si>
    <t>P-338/2020</t>
  </si>
  <si>
    <t>01.10.2020.</t>
  </si>
  <si>
    <t>20.09.2040.</t>
  </si>
  <si>
    <t>KF projekts "Ūdenssaimniecības pakalpojumu attīstība Carnikavā III kārta"</t>
  </si>
  <si>
    <t>A2/1/20/675</t>
  </si>
  <si>
    <t>P-339/2020</t>
  </si>
  <si>
    <t>20.09.2050.</t>
  </si>
  <si>
    <t>ERAF "Carnikavas pamatskolas pārbūve"</t>
  </si>
  <si>
    <t>A2/1/21/10</t>
  </si>
  <si>
    <t>P-4/2021</t>
  </si>
  <si>
    <t>26.01.2021.</t>
  </si>
  <si>
    <t>20.01.2051.</t>
  </si>
  <si>
    <t>LAD  projekts koka laipu taka uz jūru</t>
  </si>
  <si>
    <t>A2/1/21/11</t>
  </si>
  <si>
    <t>P-3/2021</t>
  </si>
  <si>
    <t>20.01.2031.</t>
  </si>
  <si>
    <t>Budžeta un finanšu vadībai (Aprīkojums PII Piejūra)</t>
  </si>
  <si>
    <t>A2/1/21/96</t>
  </si>
  <si>
    <t>P-43/2021</t>
  </si>
  <si>
    <t>25.03.2021.</t>
  </si>
  <si>
    <t>20.03.2024.</t>
  </si>
  <si>
    <t>Stacijas ielas pārbūve</t>
  </si>
  <si>
    <t>A2/1/21/169</t>
  </si>
  <si>
    <t>P-89/2021 COVID</t>
  </si>
  <si>
    <t>30.04.2021.</t>
  </si>
  <si>
    <t>20.04.2051.</t>
  </si>
  <si>
    <t>Autostāvvietas izbūve Karlsona parkā, Garciemā, Carnikavas novadā</t>
  </si>
  <si>
    <t>A2/1/21/231</t>
  </si>
  <si>
    <t>P-164/2021 COVID</t>
  </si>
  <si>
    <t>27.05.2021.</t>
  </si>
  <si>
    <t>20.05.2041.</t>
  </si>
  <si>
    <t>Lielās ielas pārbūve</t>
  </si>
  <si>
    <t>A2/1/21/232</t>
  </si>
  <si>
    <t>P-163/2021 COVID</t>
  </si>
  <si>
    <t>PII Piejūra būvniecības pabeigšana</t>
  </si>
  <si>
    <t>A2/1/21/120</t>
  </si>
  <si>
    <t>P-69/2021 COVID PII</t>
  </si>
  <si>
    <t>08.04.2021.</t>
  </si>
  <si>
    <t>20.03.2051.</t>
  </si>
  <si>
    <t>Prioritārais projekts "PII "Piejūra" būvniecība"</t>
  </si>
  <si>
    <t>A2/1/21/41</t>
  </si>
  <si>
    <t>P-10/2021 PRIO</t>
  </si>
  <si>
    <t>24.02.2021.</t>
  </si>
  <si>
    <t>20.02.2051.</t>
  </si>
  <si>
    <t>Carnikavas pamatskolas infrastruktūras uzlabošana un mācību vides labiekārtošana</t>
  </si>
  <si>
    <t>A2/1/21/776</t>
  </si>
  <si>
    <t>P-583/2021</t>
  </si>
  <si>
    <t>23.12.2021.</t>
  </si>
  <si>
    <t>21.12.2026.</t>
  </si>
  <si>
    <t>Aizvēju ielas Garciemā, dubultā virsmas apstrāde</t>
  </si>
  <si>
    <t>A2/1/22/16
A2/1/22/265</t>
  </si>
  <si>
    <t>P-8/2022
P-175/2022</t>
  </si>
  <si>
    <t>02.02.2022
08.08.2022</t>
  </si>
  <si>
    <t>22.07.2029.</t>
  </si>
  <si>
    <t>Laivu ielas (no Cēlāju ciema līdz jūrai Carnikavā) un tai piegulošā auto stāvlaukuma projektēšana un būvniecība</t>
  </si>
  <si>
    <t>A2/1/22/15</t>
  </si>
  <si>
    <t>P-7/2022</t>
  </si>
  <si>
    <t>20.01.2037.</t>
  </si>
  <si>
    <t>A2/1/22/267</t>
  </si>
  <si>
    <t>P-163/2022</t>
  </si>
  <si>
    <t>20.07.2023.</t>
  </si>
  <si>
    <t>Carnikavas stadiona rekonstrukcija (Prioritārais)</t>
  </si>
  <si>
    <t>A2/1/22/536</t>
  </si>
  <si>
    <t>P-363/2022</t>
  </si>
  <si>
    <t>20.11.2037.</t>
  </si>
  <si>
    <t>Carnikavas stadiona rekonstrukcija (Covid19)</t>
  </si>
  <si>
    <t>A2/1/22/538</t>
  </si>
  <si>
    <t>P-361/2022</t>
  </si>
  <si>
    <t>22.11.2032.</t>
  </si>
  <si>
    <t>Plānots</t>
  </si>
  <si>
    <t xml:space="preserve"> "Auto stāvlaukuma Lilastē paplašināšana, atpūtas vietu, labiekārtojuma, labierīcību, kempinga iespēju projektēšana un izbūve"</t>
  </si>
  <si>
    <t>Pamatsumma un % kopā:</t>
  </si>
  <si>
    <t>Aizņēmumu pamatsummas atmaksa:</t>
  </si>
  <si>
    <t>Aizņēmumu procentu maksājumi:</t>
  </si>
  <si>
    <t>Aizņēmumu saistības kopā:</t>
  </si>
  <si>
    <t>Aizdevumi kopā</t>
  </si>
  <si>
    <t>Citas ilgtermiņa saistības.</t>
  </si>
  <si>
    <t>Saistību mērķis</t>
  </si>
  <si>
    <t>% likme, izmaiņas ar 2015 uz gadu</t>
  </si>
  <si>
    <t>Galvojums SIA "Ādažu ūdens"</t>
  </si>
  <si>
    <t>03.2017.</t>
  </si>
  <si>
    <t>03.2032</t>
  </si>
  <si>
    <t xml:space="preserve">Līzings - jauna automašīna </t>
  </si>
  <si>
    <t>02.01.2020.</t>
  </si>
  <si>
    <t>30.12.2024.</t>
  </si>
  <si>
    <t>Volvo V60</t>
  </si>
  <si>
    <t>Līzings - frontālais iekrāvējs</t>
  </si>
  <si>
    <t>16.11.2020.</t>
  </si>
  <si>
    <t>20.11.2025.</t>
  </si>
  <si>
    <t>Līzings - mikroautobuss</t>
  </si>
  <si>
    <t>Plānots 2021.</t>
  </si>
  <si>
    <t>2026.</t>
  </si>
  <si>
    <t>Plānots 05.2021.</t>
  </si>
  <si>
    <t>Plānots 05.2051.</t>
  </si>
  <si>
    <t>Kopā citas ilgtermiņa saistības Ādaži:</t>
  </si>
  <si>
    <t>Aizdevumi un citas ilgtemiņa sistības kopā:</t>
  </si>
  <si>
    <t>x</t>
  </si>
  <si>
    <t>Saistību apmērs % no pamatbudžeta ieņēmumiem</t>
  </si>
  <si>
    <t>Max saistību papildus summa</t>
  </si>
  <si>
    <t>Kopējais saistību  summa</t>
  </si>
  <si>
    <t xml:space="preserve">Pašvaldības pamatbudžeta ieņēmumi bez mērķdotācijām un iemaksām pašvaldību </t>
  </si>
  <si>
    <t>finanšu  izlīdzināšanas fondā saimnieciskajā gadā:</t>
  </si>
  <si>
    <t>2023. gadā</t>
  </si>
  <si>
    <t>2024. gadā</t>
  </si>
  <si>
    <t xml:space="preserve"> 2025. gadā</t>
  </si>
  <si>
    <t>2026. gadā</t>
  </si>
  <si>
    <t>2027. gadā</t>
  </si>
  <si>
    <t xml:space="preserve"> 2028. gadā</t>
  </si>
  <si>
    <t>2029. gadā</t>
  </si>
  <si>
    <t>Aizņēmumu pamatsummas atmaksa - kopā</t>
  </si>
  <si>
    <t>Aizņēmumu procentu maksājumi - kopā</t>
  </si>
  <si>
    <t>Galvojumi un citas ilgtermiņa saistības - kopā:</t>
  </si>
  <si>
    <t>Domes priekšsēdētāja</t>
  </si>
  <si>
    <t>K.Miķelsone</t>
  </si>
  <si>
    <t>Precizēts MD apjoms</t>
  </si>
  <si>
    <t>23.03.2023. grozījumi</t>
  </si>
  <si>
    <t>Izmaiņa 23.03.2023. - 26.01.2023.</t>
  </si>
  <si>
    <t>Precizēta summa pēc līguma noslēgšanas</t>
  </si>
  <si>
    <t>Valsts finansējums projektu konkursā "Atbalsts jaunatnes politikas īstenošanai vietējā līmenī" Projekts "Mobilais darbs ar jaunatni Ādažu novadā"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</si>
</sst>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00%"/>
    <numFmt numFmtId="166" formatCode="#,##0.000"/>
    <numFmt numFmtId="167" formatCode="0.0%"/>
  </numFmts>
  <fonts count="68" x14ac:knownFonts="1">
    <font>
      <sz val="9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9"/>
      <color theme="1"/>
      <name val="Arial"/>
      <family val="2"/>
      <charset val="186"/>
    </font>
    <font>
      <b/>
      <sz val="11"/>
      <name val="Times New Roman"/>
      <family val="1"/>
      <charset val="186"/>
    </font>
    <font>
      <u/>
      <sz val="9"/>
      <color theme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i/>
      <sz val="9"/>
      <color theme="3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9"/>
      <color rgb="FFC0000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8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9"/>
      <color rgb="FFC00000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1"/>
      <color theme="3"/>
      <name val="Calibri"/>
      <family val="2"/>
      <charset val="186"/>
      <scheme val="minor"/>
    </font>
    <font>
      <b/>
      <sz val="9"/>
      <color rgb="FFFF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b/>
      <i/>
      <sz val="8"/>
      <name val="Times New Roman"/>
      <family val="1"/>
      <charset val="186"/>
    </font>
    <font>
      <b/>
      <sz val="8"/>
      <color rgb="FFC00000"/>
      <name val="Times New Roman"/>
      <family val="1"/>
      <charset val="186"/>
    </font>
    <font>
      <u/>
      <sz val="8"/>
      <color rgb="FFFF0000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11"/>
      <name val="Calibri"/>
      <family val="2"/>
      <charset val="186"/>
      <scheme val="minor"/>
    </font>
    <font>
      <i/>
      <sz val="8"/>
      <name val="Times New Roman"/>
      <family val="1"/>
    </font>
    <font>
      <i/>
      <sz val="11"/>
      <color rgb="FFC00000"/>
      <name val="Calibri"/>
      <family val="2"/>
      <charset val="186"/>
      <scheme val="minor"/>
    </font>
    <font>
      <sz val="8"/>
      <color rgb="FFC00000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b/>
      <sz val="10"/>
      <name val="Times New Roman"/>
      <family val="1"/>
    </font>
    <font>
      <sz val="8"/>
      <color rgb="FFFF0000"/>
      <name val="Times New Roman"/>
      <family val="1"/>
      <charset val="186"/>
    </font>
    <font>
      <b/>
      <sz val="10"/>
      <name val="Arial"/>
      <family val="2"/>
      <charset val="186"/>
    </font>
    <font>
      <sz val="11"/>
      <color rgb="FF00B050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8"/>
      <color theme="3"/>
      <name val="Times New Roman"/>
      <family val="1"/>
      <charset val="186"/>
    </font>
    <font>
      <sz val="7"/>
      <color theme="2" tint="-0.499984740745262"/>
      <name val="Times New Roman"/>
      <family val="1"/>
      <charset val="186"/>
    </font>
    <font>
      <b/>
      <sz val="8"/>
      <color theme="4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i/>
      <sz val="8"/>
      <color theme="3"/>
      <name val="Times New Roman"/>
      <family val="1"/>
      <charset val="186"/>
    </font>
    <font>
      <b/>
      <sz val="9"/>
      <color theme="3"/>
      <name val="Times New Roman"/>
      <family val="1"/>
      <charset val="186"/>
    </font>
    <font>
      <b/>
      <i/>
      <sz val="9"/>
      <color theme="3"/>
      <name val="Times New Roman"/>
      <family val="1"/>
      <charset val="186"/>
    </font>
    <font>
      <i/>
      <sz val="9"/>
      <color indexed="56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indexed="56"/>
      <name val="Times New Roman"/>
      <family val="1"/>
    </font>
    <font>
      <i/>
      <sz val="8"/>
      <color theme="3"/>
      <name val="Times New Roman"/>
      <family val="1"/>
    </font>
    <font>
      <sz val="8"/>
      <color theme="1"/>
      <name val="Times New Roman"/>
      <family val="1"/>
    </font>
    <font>
      <i/>
      <sz val="14"/>
      <color theme="3"/>
      <name val="Times New Roman"/>
      <family val="1"/>
      <charset val="186"/>
    </font>
    <font>
      <sz val="14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sz val="14"/>
      <color rgb="FFC00000"/>
      <name val="Times New Roman"/>
      <family val="1"/>
      <charset val="186"/>
    </font>
    <font>
      <b/>
      <sz val="10"/>
      <color indexed="56"/>
      <name val="Times New Roman"/>
      <family val="1"/>
      <charset val="186"/>
    </font>
    <font>
      <sz val="9"/>
      <color indexed="56"/>
      <name val="Times New Roman"/>
      <family val="1"/>
      <charset val="186"/>
    </font>
    <font>
      <b/>
      <sz val="9"/>
      <color indexed="56"/>
      <name val="Times New Roman"/>
      <family val="1"/>
      <charset val="186"/>
    </font>
    <font>
      <sz val="8"/>
      <color indexed="56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6"/>
      <name val="Times New Roman"/>
      <family val="1"/>
      <charset val="186"/>
    </font>
    <font>
      <u/>
      <sz val="9"/>
      <name val="Arial"/>
      <family val="2"/>
      <charset val="186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5" tint="-0.249977111117893"/>
      </right>
      <top/>
      <bottom/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theme="5" tint="-0.249977111117893"/>
      </left>
      <right style="medium">
        <color theme="5" tint="-0.249977111117893"/>
      </right>
      <top/>
      <bottom style="double">
        <color indexed="64"/>
      </bottom>
      <diagonal/>
    </border>
    <border>
      <left style="medium">
        <color theme="5" tint="-0.249977111117893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medium">
        <color theme="5" tint="-0.249977111117893"/>
      </right>
      <top/>
      <bottom style="medium">
        <color theme="5" tint="-0.249977111117893"/>
      </bottom>
      <diagonal/>
    </border>
    <border>
      <left style="thin">
        <color indexed="64"/>
      </left>
      <right/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0" fontId="4" fillId="0" borderId="0"/>
  </cellStyleXfs>
  <cellXfs count="657">
    <xf numFmtId="0" fontId="0" fillId="0" borderId="0" xfId="0"/>
    <xf numFmtId="0" fontId="3" fillId="0" borderId="0" xfId="2" applyFont="1"/>
    <xf numFmtId="0" fontId="3" fillId="0" borderId="0" xfId="2" applyFont="1" applyAlignment="1">
      <alignment wrapText="1"/>
    </xf>
    <xf numFmtId="3" fontId="3" fillId="0" borderId="0" xfId="2" applyNumberFormat="1" applyFont="1"/>
    <xf numFmtId="9" fontId="3" fillId="0" borderId="0" xfId="4" applyFont="1" applyAlignment="1">
      <alignment wrapText="1"/>
    </xf>
    <xf numFmtId="1" fontId="3" fillId="0" borderId="0" xfId="4" applyNumberFormat="1" applyFont="1" applyFill="1"/>
    <xf numFmtId="164" fontId="6" fillId="0" borderId="0" xfId="5" applyNumberFormat="1" applyFont="1"/>
    <xf numFmtId="9" fontId="3" fillId="0" borderId="0" xfId="4" applyFont="1"/>
    <xf numFmtId="164" fontId="6" fillId="0" borderId="0" xfId="1" applyNumberFormat="1" applyFont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9" fontId="6" fillId="0" borderId="3" xfId="4" applyFont="1" applyBorder="1" applyAlignment="1">
      <alignment horizontal="center" vertical="center" wrapText="1"/>
    </xf>
    <xf numFmtId="0" fontId="6" fillId="2" borderId="4" xfId="2" applyFont="1" applyFill="1" applyBorder="1"/>
    <xf numFmtId="0" fontId="6" fillId="2" borderId="5" xfId="2" applyFont="1" applyFill="1" applyBorder="1" applyAlignment="1">
      <alignment wrapText="1"/>
    </xf>
    <xf numFmtId="164" fontId="6" fillId="2" borderId="6" xfId="1" applyNumberFormat="1" applyFont="1" applyFill="1" applyBorder="1"/>
    <xf numFmtId="3" fontId="6" fillId="2" borderId="6" xfId="2" applyNumberFormat="1" applyFont="1" applyFill="1" applyBorder="1"/>
    <xf numFmtId="9" fontId="3" fillId="2" borderId="6" xfId="4" applyFont="1" applyFill="1" applyBorder="1" applyAlignment="1">
      <alignment wrapText="1"/>
    </xf>
    <xf numFmtId="164" fontId="3" fillId="0" borderId="0" xfId="2" applyNumberFormat="1" applyFont="1"/>
    <xf numFmtId="0" fontId="6" fillId="3" borderId="4" xfId="2" quotePrefix="1" applyFont="1" applyFill="1" applyBorder="1"/>
    <xf numFmtId="0" fontId="6" fillId="3" borderId="5" xfId="2" applyFont="1" applyFill="1" applyBorder="1" applyAlignment="1">
      <alignment wrapText="1"/>
    </xf>
    <xf numFmtId="3" fontId="6" fillId="3" borderId="6" xfId="2" applyNumberFormat="1" applyFont="1" applyFill="1" applyBorder="1"/>
    <xf numFmtId="9" fontId="6" fillId="3" borderId="6" xfId="4" applyFont="1" applyFill="1" applyBorder="1"/>
    <xf numFmtId="0" fontId="3" fillId="0" borderId="7" xfId="2" applyFont="1" applyBorder="1" applyAlignment="1">
      <alignment horizontal="left" indent="1"/>
    </xf>
    <xf numFmtId="0" fontId="3" fillId="0" borderId="8" xfId="2" applyFont="1" applyBorder="1" applyAlignment="1">
      <alignment horizontal="left" wrapText="1" indent="2"/>
    </xf>
    <xf numFmtId="3" fontId="3" fillId="0" borderId="9" xfId="2" applyNumberFormat="1" applyFont="1" applyBorder="1"/>
    <xf numFmtId="9" fontId="3" fillId="0" borderId="9" xfId="4" applyFont="1" applyFill="1" applyBorder="1"/>
    <xf numFmtId="0" fontId="6" fillId="3" borderId="7" xfId="2" applyFont="1" applyFill="1" applyBorder="1"/>
    <xf numFmtId="0" fontId="6" fillId="3" borderId="8" xfId="2" applyFont="1" applyFill="1" applyBorder="1" applyAlignment="1">
      <alignment wrapText="1"/>
    </xf>
    <xf numFmtId="3" fontId="6" fillId="3" borderId="9" xfId="2" applyNumberFormat="1" applyFont="1" applyFill="1" applyBorder="1"/>
    <xf numFmtId="9" fontId="6" fillId="3" borderId="9" xfId="4" applyFont="1" applyFill="1" applyBorder="1"/>
    <xf numFmtId="9" fontId="3" fillId="0" borderId="9" xfId="4" applyFont="1" applyBorder="1"/>
    <xf numFmtId="9" fontId="3" fillId="0" borderId="10" xfId="4" applyFont="1" applyFill="1" applyBorder="1"/>
    <xf numFmtId="9" fontId="3" fillId="0" borderId="10" xfId="4" applyFont="1" applyFill="1" applyBorder="1" applyAlignment="1">
      <alignment wrapText="1"/>
    </xf>
    <xf numFmtId="0" fontId="9" fillId="0" borderId="7" xfId="2" applyFont="1" applyBorder="1" applyAlignment="1">
      <alignment horizontal="left" indent="2"/>
    </xf>
    <xf numFmtId="0" fontId="9" fillId="0" borderId="8" xfId="2" applyFont="1" applyBorder="1" applyAlignment="1">
      <alignment horizontal="left" wrapText="1" indent="3"/>
    </xf>
    <xf numFmtId="9" fontId="3" fillId="3" borderId="9" xfId="4" applyFont="1" applyFill="1" applyBorder="1" applyAlignment="1">
      <alignment wrapText="1"/>
    </xf>
    <xf numFmtId="0" fontId="3" fillId="4" borderId="8" xfId="2" applyFont="1" applyFill="1" applyBorder="1" applyAlignment="1">
      <alignment horizontal="left" wrapText="1" indent="2"/>
    </xf>
    <xf numFmtId="9" fontId="3" fillId="0" borderId="9" xfId="4" applyFont="1" applyFill="1" applyBorder="1" applyAlignment="1">
      <alignment wrapText="1"/>
    </xf>
    <xf numFmtId="0" fontId="6" fillId="3" borderId="7" xfId="2" quotePrefix="1" applyFont="1" applyFill="1" applyBorder="1"/>
    <xf numFmtId="0" fontId="3" fillId="2" borderId="7" xfId="2" applyFont="1" applyFill="1" applyBorder="1" applyAlignment="1">
      <alignment horizontal="left" indent="1"/>
    </xf>
    <xf numFmtId="0" fontId="3" fillId="2" borderId="8" xfId="2" applyFont="1" applyFill="1" applyBorder="1" applyAlignment="1">
      <alignment horizontal="left" wrapText="1" indent="2"/>
    </xf>
    <xf numFmtId="3" fontId="3" fillId="2" borderId="9" xfId="2" applyNumberFormat="1" applyFont="1" applyFill="1" applyBorder="1"/>
    <xf numFmtId="3" fontId="3" fillId="5" borderId="9" xfId="2" applyNumberFormat="1" applyFont="1" applyFill="1" applyBorder="1"/>
    <xf numFmtId="3" fontId="3" fillId="5" borderId="9" xfId="2" applyNumberFormat="1" applyFont="1" applyFill="1" applyBorder="1" applyAlignment="1">
      <alignment wrapText="1"/>
    </xf>
    <xf numFmtId="3" fontId="9" fillId="6" borderId="9" xfId="2" applyNumberFormat="1" applyFont="1" applyFill="1" applyBorder="1"/>
    <xf numFmtId="9" fontId="9" fillId="6" borderId="9" xfId="4" applyFont="1" applyFill="1" applyBorder="1" applyAlignment="1">
      <alignment wrapText="1"/>
    </xf>
    <xf numFmtId="0" fontId="9" fillId="0" borderId="0" xfId="2" applyFont="1"/>
    <xf numFmtId="3" fontId="9" fillId="7" borderId="9" xfId="2" applyNumberFormat="1" applyFont="1" applyFill="1" applyBorder="1"/>
    <xf numFmtId="9" fontId="9" fillId="7" borderId="9" xfId="4" applyFont="1" applyFill="1" applyBorder="1"/>
    <xf numFmtId="0" fontId="3" fillId="0" borderId="0" xfId="2" quotePrefix="1" applyFont="1"/>
    <xf numFmtId="0" fontId="3" fillId="8" borderId="8" xfId="2" applyFont="1" applyFill="1" applyBorder="1" applyAlignment="1">
      <alignment horizontal="left" wrapText="1" indent="2"/>
    </xf>
    <xf numFmtId="164" fontId="3" fillId="0" borderId="9" xfId="1" applyNumberFormat="1" applyFont="1" applyFill="1" applyBorder="1"/>
    <xf numFmtId="3" fontId="3" fillId="9" borderId="9" xfId="2" applyNumberFormat="1" applyFont="1" applyFill="1" applyBorder="1"/>
    <xf numFmtId="9" fontId="3" fillId="2" borderId="9" xfId="4" applyFont="1" applyFill="1" applyBorder="1" applyAlignment="1">
      <alignment wrapText="1"/>
    </xf>
    <xf numFmtId="0" fontId="3" fillId="0" borderId="8" xfId="2" applyFont="1" applyBorder="1" applyAlignment="1">
      <alignment horizontal="left" wrapText="1" indent="3"/>
    </xf>
    <xf numFmtId="9" fontId="3" fillId="10" borderId="9" xfId="4" applyFont="1" applyFill="1" applyBorder="1" applyAlignment="1">
      <alignment wrapText="1"/>
    </xf>
    <xf numFmtId="9" fontId="3" fillId="0" borderId="12" xfId="4" applyFont="1" applyFill="1" applyBorder="1"/>
    <xf numFmtId="0" fontId="3" fillId="0" borderId="0" xfId="2" quotePrefix="1" applyFont="1" applyAlignment="1">
      <alignment wrapText="1"/>
    </xf>
    <xf numFmtId="0" fontId="3" fillId="8" borderId="8" xfId="2" applyFont="1" applyFill="1" applyBorder="1" applyAlignment="1">
      <alignment horizontal="left" wrapText="1" indent="3"/>
    </xf>
    <xf numFmtId="3" fontId="3" fillId="11" borderId="9" xfId="2" applyNumberFormat="1" applyFont="1" applyFill="1" applyBorder="1"/>
    <xf numFmtId="3" fontId="3" fillId="12" borderId="9" xfId="2" applyNumberFormat="1" applyFont="1" applyFill="1" applyBorder="1"/>
    <xf numFmtId="0" fontId="3" fillId="0" borderId="5" xfId="2" applyFont="1" applyBorder="1" applyAlignment="1">
      <alignment horizontal="left" wrapText="1" indent="3"/>
    </xf>
    <xf numFmtId="0" fontId="3" fillId="0" borderId="5" xfId="2" applyFont="1" applyBorder="1" applyAlignment="1">
      <alignment horizontal="left" wrapText="1" indent="2"/>
    </xf>
    <xf numFmtId="0" fontId="3" fillId="4" borderId="7" xfId="2" applyFont="1" applyFill="1" applyBorder="1" applyAlignment="1">
      <alignment horizontal="left" indent="2"/>
    </xf>
    <xf numFmtId="0" fontId="3" fillId="4" borderId="8" xfId="2" applyFont="1" applyFill="1" applyBorder="1" applyAlignment="1">
      <alignment horizontal="left" wrapText="1" indent="3"/>
    </xf>
    <xf numFmtId="1" fontId="3" fillId="0" borderId="9" xfId="4" applyNumberFormat="1" applyFont="1" applyFill="1" applyBorder="1"/>
    <xf numFmtId="3" fontId="3" fillId="13" borderId="9" xfId="2" applyNumberFormat="1" applyFont="1" applyFill="1" applyBorder="1"/>
    <xf numFmtId="0" fontId="6" fillId="0" borderId="13" xfId="2" applyFont="1" applyBorder="1"/>
    <xf numFmtId="0" fontId="6" fillId="0" borderId="14" xfId="2" applyFont="1" applyBorder="1" applyAlignment="1">
      <alignment horizontal="right" wrapText="1"/>
    </xf>
    <xf numFmtId="3" fontId="6" fillId="0" borderId="3" xfId="2" applyNumberFormat="1" applyFont="1" applyBorder="1"/>
    <xf numFmtId="9" fontId="6" fillId="0" borderId="3" xfId="4" applyFont="1" applyBorder="1"/>
    <xf numFmtId="0" fontId="6" fillId="0" borderId="15" xfId="2" quotePrefix="1" applyFont="1" applyBorder="1"/>
    <xf numFmtId="0" fontId="6" fillId="0" borderId="16" xfId="2" applyFont="1" applyBorder="1" applyAlignment="1">
      <alignment wrapText="1"/>
    </xf>
    <xf numFmtId="3" fontId="6" fillId="0" borderId="17" xfId="2" applyNumberFormat="1" applyFont="1" applyBorder="1"/>
    <xf numFmtId="9" fontId="6" fillId="0" borderId="17" xfId="4" applyFont="1" applyFill="1" applyBorder="1"/>
    <xf numFmtId="0" fontId="6" fillId="3" borderId="18" xfId="2" applyFont="1" applyFill="1" applyBorder="1" applyAlignment="1">
      <alignment wrapText="1"/>
    </xf>
    <xf numFmtId="3" fontId="6" fillId="3" borderId="12" xfId="2" applyNumberFormat="1" applyFont="1" applyFill="1" applyBorder="1"/>
    <xf numFmtId="49" fontId="3" fillId="0" borderId="18" xfId="2" applyNumberFormat="1" applyFont="1" applyBorder="1" applyAlignment="1">
      <alignment horizontal="left" wrapText="1" indent="4"/>
    </xf>
    <xf numFmtId="3" fontId="3" fillId="0" borderId="12" xfId="2" applyNumberFormat="1" applyFont="1" applyBorder="1"/>
    <xf numFmtId="43" fontId="3" fillId="0" borderId="12" xfId="1" applyFont="1" applyBorder="1"/>
    <xf numFmtId="3" fontId="3" fillId="0" borderId="18" xfId="2" applyNumberFormat="1" applyFont="1" applyBorder="1"/>
    <xf numFmtId="3" fontId="3" fillId="0" borderId="19" xfId="2" applyNumberFormat="1" applyFont="1" applyBorder="1"/>
    <xf numFmtId="9" fontId="3" fillId="0" borderId="20" xfId="4" applyFont="1" applyFill="1" applyBorder="1"/>
    <xf numFmtId="3" fontId="3" fillId="0" borderId="22" xfId="2" applyNumberFormat="1" applyFont="1" applyBorder="1"/>
    <xf numFmtId="49" fontId="3" fillId="0" borderId="23" xfId="2" applyNumberFormat="1" applyFont="1" applyBorder="1" applyAlignment="1">
      <alignment horizontal="left" wrapText="1" indent="4"/>
    </xf>
    <xf numFmtId="3" fontId="3" fillId="0" borderId="21" xfId="2" applyNumberFormat="1" applyFont="1" applyBorder="1"/>
    <xf numFmtId="43" fontId="3" fillId="0" borderId="21" xfId="1" applyFont="1" applyBorder="1"/>
    <xf numFmtId="49" fontId="3" fillId="0" borderId="8" xfId="2" applyNumberFormat="1" applyFont="1" applyBorder="1" applyAlignment="1">
      <alignment horizontal="left" wrapText="1" indent="4"/>
    </xf>
    <xf numFmtId="3" fontId="3" fillId="0" borderId="8" xfId="2" applyNumberFormat="1" applyFont="1" applyBorder="1"/>
    <xf numFmtId="43" fontId="3" fillId="0" borderId="8" xfId="1" applyFont="1" applyBorder="1"/>
    <xf numFmtId="9" fontId="3" fillId="0" borderId="8" xfId="4" applyFont="1" applyFill="1" applyBorder="1"/>
    <xf numFmtId="0" fontId="3" fillId="4" borderId="24" xfId="2" applyFont="1" applyFill="1" applyBorder="1" applyAlignment="1">
      <alignment horizontal="left" indent="2"/>
    </xf>
    <xf numFmtId="0" fontId="3" fillId="4" borderId="15" xfId="2" applyFont="1" applyFill="1" applyBorder="1" applyAlignment="1">
      <alignment horizontal="left" indent="2"/>
    </xf>
    <xf numFmtId="49" fontId="3" fillId="0" borderId="25" xfId="2" applyNumberFormat="1" applyFont="1" applyBorder="1" applyAlignment="1">
      <alignment horizontal="left" wrapText="1" indent="4"/>
    </xf>
    <xf numFmtId="43" fontId="3" fillId="0" borderId="22" xfId="1" applyFont="1" applyBorder="1"/>
    <xf numFmtId="3" fontId="3" fillId="0" borderId="17" xfId="2" applyNumberFormat="1" applyFont="1" applyBorder="1"/>
    <xf numFmtId="9" fontId="3" fillId="0" borderId="17" xfId="4" applyFont="1" applyFill="1" applyBorder="1"/>
    <xf numFmtId="0" fontId="6" fillId="0" borderId="26" xfId="2" applyFont="1" applyBorder="1"/>
    <xf numFmtId="0" fontId="6" fillId="0" borderId="27" xfId="2" applyFont="1" applyBorder="1" applyAlignment="1">
      <alignment horizontal="right" wrapText="1"/>
    </xf>
    <xf numFmtId="9" fontId="6" fillId="0" borderId="17" xfId="4" applyFont="1" applyBorder="1"/>
    <xf numFmtId="0" fontId="6" fillId="0" borderId="0" xfId="2" applyFont="1"/>
    <xf numFmtId="10" fontId="3" fillId="0" borderId="0" xfId="8" applyNumberFormat="1" applyFont="1"/>
    <xf numFmtId="49" fontId="6" fillId="3" borderId="28" xfId="2" applyNumberFormat="1" applyFont="1" applyFill="1" applyBorder="1" applyAlignment="1">
      <alignment horizontal="left" indent="2"/>
    </xf>
    <xf numFmtId="49" fontId="6" fillId="3" borderId="29" xfId="2" applyNumberFormat="1" applyFont="1" applyFill="1" applyBorder="1" applyAlignment="1">
      <alignment wrapText="1"/>
    </xf>
    <xf numFmtId="3" fontId="6" fillId="3" borderId="30" xfId="2" applyNumberFormat="1" applyFont="1" applyFill="1" applyBorder="1"/>
    <xf numFmtId="9" fontId="6" fillId="3" borderId="30" xfId="4" applyFont="1" applyFill="1" applyBorder="1"/>
    <xf numFmtId="49" fontId="3" fillId="2" borderId="7" xfId="2" applyNumberFormat="1" applyFont="1" applyFill="1" applyBorder="1" applyAlignment="1">
      <alignment horizontal="left" indent="1"/>
    </xf>
    <xf numFmtId="49" fontId="3" fillId="2" borderId="8" xfId="2" applyNumberFormat="1" applyFont="1" applyFill="1" applyBorder="1" applyAlignment="1">
      <alignment horizontal="left" wrapText="1" indent="2"/>
    </xf>
    <xf numFmtId="9" fontId="3" fillId="2" borderId="9" xfId="4" applyFont="1" applyFill="1" applyBorder="1"/>
    <xf numFmtId="49" fontId="6" fillId="3" borderId="7" xfId="2" applyNumberFormat="1" applyFont="1" applyFill="1" applyBorder="1"/>
    <xf numFmtId="49" fontId="6" fillId="3" borderId="8" xfId="2" applyNumberFormat="1" applyFont="1" applyFill="1" applyBorder="1" applyAlignment="1">
      <alignment wrapText="1"/>
    </xf>
    <xf numFmtId="49" fontId="3" fillId="0" borderId="7" xfId="2" applyNumberFormat="1" applyFont="1" applyBorder="1" applyAlignment="1">
      <alignment horizontal="left" indent="2"/>
    </xf>
    <xf numFmtId="49" fontId="3" fillId="0" borderId="8" xfId="2" applyNumberFormat="1" applyFont="1" applyBorder="1" applyAlignment="1">
      <alignment horizontal="left" wrapText="1" indent="2"/>
    </xf>
    <xf numFmtId="49" fontId="6" fillId="2" borderId="8" xfId="2" applyNumberFormat="1" applyFont="1" applyFill="1" applyBorder="1" applyAlignment="1">
      <alignment horizontal="left" wrapText="1" indent="2"/>
    </xf>
    <xf numFmtId="3" fontId="6" fillId="2" borderId="9" xfId="2" applyNumberFormat="1" applyFont="1" applyFill="1" applyBorder="1"/>
    <xf numFmtId="9" fontId="3" fillId="0" borderId="9" xfId="4" applyFont="1" applyBorder="1" applyAlignment="1">
      <alignment wrapText="1"/>
    </xf>
    <xf numFmtId="49" fontId="3" fillId="14" borderId="7" xfId="2" applyNumberFormat="1" applyFont="1" applyFill="1" applyBorder="1" applyAlignment="1">
      <alignment horizontal="left" indent="2"/>
    </xf>
    <xf numFmtId="9" fontId="6" fillId="2" borderId="9" xfId="4" applyFont="1" applyFill="1" applyBorder="1"/>
    <xf numFmtId="9" fontId="3" fillId="0" borderId="10" xfId="4" applyFont="1" applyBorder="1" applyAlignment="1">
      <alignment wrapText="1"/>
    </xf>
    <xf numFmtId="0" fontId="3" fillId="10" borderId="8" xfId="2" applyFont="1" applyFill="1" applyBorder="1" applyAlignment="1">
      <alignment horizontal="left" wrapText="1" indent="3"/>
    </xf>
    <xf numFmtId="9" fontId="3" fillId="0" borderId="11" xfId="4" applyFont="1" applyBorder="1" applyAlignment="1">
      <alignment wrapText="1"/>
    </xf>
    <xf numFmtId="3" fontId="3" fillId="14" borderId="9" xfId="2" applyNumberFormat="1" applyFont="1" applyFill="1" applyBorder="1"/>
    <xf numFmtId="3" fontId="3" fillId="15" borderId="9" xfId="2" applyNumberFormat="1" applyFont="1" applyFill="1" applyBorder="1"/>
    <xf numFmtId="49" fontId="10" fillId="0" borderId="7" xfId="2" applyNumberFormat="1" applyFont="1" applyBorder="1" applyAlignment="1">
      <alignment horizontal="left" indent="3"/>
    </xf>
    <xf numFmtId="0" fontId="10" fillId="10" borderId="8" xfId="2" applyFont="1" applyFill="1" applyBorder="1" applyAlignment="1">
      <alignment horizontal="left" wrapText="1" indent="6"/>
    </xf>
    <xf numFmtId="3" fontId="10" fillId="9" borderId="9" xfId="2" applyNumberFormat="1" applyFont="1" applyFill="1" applyBorder="1"/>
    <xf numFmtId="3" fontId="10" fillId="0" borderId="9" xfId="2" applyNumberFormat="1" applyFont="1" applyBorder="1"/>
    <xf numFmtId="3" fontId="10" fillId="14" borderId="9" xfId="2" applyNumberFormat="1" applyFont="1" applyFill="1" applyBorder="1"/>
    <xf numFmtId="0" fontId="10" fillId="0" borderId="0" xfId="2" applyFont="1"/>
    <xf numFmtId="3" fontId="3" fillId="10" borderId="9" xfId="2" applyNumberFormat="1" applyFont="1" applyFill="1" applyBorder="1"/>
    <xf numFmtId="49" fontId="3" fillId="14" borderId="7" xfId="2" applyNumberFormat="1" applyFont="1" applyFill="1" applyBorder="1" applyAlignment="1">
      <alignment horizontal="left" indent="1"/>
    </xf>
    <xf numFmtId="9" fontId="10" fillId="2" borderId="9" xfId="4" applyFont="1" applyFill="1" applyBorder="1" applyAlignment="1">
      <alignment wrapText="1"/>
    </xf>
    <xf numFmtId="0" fontId="3" fillId="10" borderId="31" xfId="2" applyFont="1" applyFill="1" applyBorder="1" applyAlignment="1">
      <alignment horizontal="left" indent="3"/>
    </xf>
    <xf numFmtId="9" fontId="3" fillId="10" borderId="9" xfId="4" applyFont="1" applyFill="1" applyBorder="1"/>
    <xf numFmtId="3" fontId="3" fillId="16" borderId="9" xfId="2" applyNumberFormat="1" applyFont="1" applyFill="1" applyBorder="1"/>
    <xf numFmtId="0" fontId="3" fillId="0" borderId="31" xfId="2" applyFont="1" applyBorder="1" applyAlignment="1">
      <alignment horizontal="left" indent="3"/>
    </xf>
    <xf numFmtId="0" fontId="3" fillId="0" borderId="0" xfId="2" applyFont="1" applyAlignment="1">
      <alignment horizontal="right"/>
    </xf>
    <xf numFmtId="3" fontId="3" fillId="17" borderId="9" xfId="2" applyNumberFormat="1" applyFont="1" applyFill="1" applyBorder="1"/>
    <xf numFmtId="3" fontId="3" fillId="4" borderId="9" xfId="2" applyNumberFormat="1" applyFont="1" applyFill="1" applyBorder="1"/>
    <xf numFmtId="9" fontId="3" fillId="4" borderId="9" xfId="4" applyFont="1" applyFill="1" applyBorder="1" applyAlignment="1">
      <alignment wrapText="1"/>
    </xf>
    <xf numFmtId="49" fontId="6" fillId="2" borderId="7" xfId="2" applyNumberFormat="1" applyFont="1" applyFill="1" applyBorder="1" applyAlignment="1">
      <alignment horizontal="left" indent="1"/>
    </xf>
    <xf numFmtId="0" fontId="3" fillId="4" borderId="0" xfId="2" quotePrefix="1" applyFont="1" applyFill="1"/>
    <xf numFmtId="0" fontId="3" fillId="4" borderId="0" xfId="2" applyFont="1" applyFill="1"/>
    <xf numFmtId="49" fontId="3" fillId="4" borderId="7" xfId="2" applyNumberFormat="1" applyFont="1" applyFill="1" applyBorder="1" applyAlignment="1">
      <alignment horizontal="left" indent="2"/>
    </xf>
    <xf numFmtId="49" fontId="3" fillId="4" borderId="8" xfId="2" applyNumberFormat="1" applyFont="1" applyFill="1" applyBorder="1" applyAlignment="1">
      <alignment horizontal="left" wrapText="1" indent="4"/>
    </xf>
    <xf numFmtId="49" fontId="6" fillId="0" borderId="7" xfId="2" applyNumberFormat="1" applyFont="1" applyBorder="1" applyAlignment="1">
      <alignment horizontal="left" indent="2"/>
    </xf>
    <xf numFmtId="49" fontId="6" fillId="0" borderId="8" xfId="2" applyNumberFormat="1" applyFont="1" applyBorder="1" applyAlignment="1">
      <alignment horizontal="left" wrapText="1" indent="4"/>
    </xf>
    <xf numFmtId="3" fontId="6" fillId="0" borderId="9" xfId="2" applyNumberFormat="1" applyFont="1" applyBorder="1"/>
    <xf numFmtId="49" fontId="3" fillId="0" borderId="7" xfId="2" applyNumberFormat="1" applyFont="1" applyBorder="1" applyAlignment="1">
      <alignment horizontal="left" indent="3"/>
    </xf>
    <xf numFmtId="9" fontId="9" fillId="0" borderId="9" xfId="4" applyFont="1" applyFill="1" applyBorder="1" applyAlignment="1">
      <alignment wrapText="1"/>
    </xf>
    <xf numFmtId="49" fontId="11" fillId="2" borderId="7" xfId="2" applyNumberFormat="1" applyFont="1" applyFill="1" applyBorder="1" applyAlignment="1">
      <alignment horizontal="left" indent="1"/>
    </xf>
    <xf numFmtId="49" fontId="11" fillId="14" borderId="7" xfId="2" applyNumberFormat="1" applyFont="1" applyFill="1" applyBorder="1" applyAlignment="1">
      <alignment horizontal="left" indent="1"/>
    </xf>
    <xf numFmtId="49" fontId="6" fillId="14" borderId="7" xfId="2" applyNumberFormat="1" applyFont="1" applyFill="1" applyBorder="1" applyAlignment="1">
      <alignment horizontal="left" indent="1"/>
    </xf>
    <xf numFmtId="49" fontId="6" fillId="0" borderId="13" xfId="2" applyNumberFormat="1" applyFont="1" applyBorder="1"/>
    <xf numFmtId="49" fontId="6" fillId="0" borderId="14" xfId="2" applyNumberFormat="1" applyFont="1" applyBorder="1" applyAlignment="1">
      <alignment horizontal="right" wrapText="1"/>
    </xf>
    <xf numFmtId="3" fontId="6" fillId="0" borderId="32" xfId="2" applyNumberFormat="1" applyFont="1" applyBorder="1"/>
    <xf numFmtId="9" fontId="6" fillId="0" borderId="32" xfId="4" applyFont="1" applyBorder="1"/>
    <xf numFmtId="3" fontId="6" fillId="0" borderId="33" xfId="2" applyNumberFormat="1" applyFont="1" applyBorder="1"/>
    <xf numFmtId="9" fontId="3" fillId="0" borderId="33" xfId="4" applyFont="1" applyBorder="1"/>
    <xf numFmtId="49" fontId="6" fillId="3" borderId="34" xfId="2" applyNumberFormat="1" applyFont="1" applyFill="1" applyBorder="1" applyAlignment="1">
      <alignment horizontal="center"/>
    </xf>
    <xf numFmtId="49" fontId="6" fillId="3" borderId="35" xfId="2" applyNumberFormat="1" applyFont="1" applyFill="1" applyBorder="1" applyAlignment="1">
      <alignment wrapText="1"/>
    </xf>
    <xf numFmtId="3" fontId="6" fillId="3" borderId="36" xfId="2" applyNumberFormat="1" applyFont="1" applyFill="1" applyBorder="1"/>
    <xf numFmtId="9" fontId="6" fillId="3" borderId="36" xfId="4" applyFont="1" applyFill="1" applyBorder="1"/>
    <xf numFmtId="0" fontId="15" fillId="0" borderId="0" xfId="10" applyFont="1"/>
    <xf numFmtId="0" fontId="16" fillId="0" borderId="0" xfId="10" applyFont="1"/>
    <xf numFmtId="0" fontId="16" fillId="0" borderId="0" xfId="10" applyFont="1" applyAlignment="1">
      <alignment horizontal="right"/>
    </xf>
    <xf numFmtId="0" fontId="17" fillId="0" borderId="0" xfId="10" applyFont="1"/>
    <xf numFmtId="164" fontId="16" fillId="0" borderId="0" xfId="11" applyNumberFormat="1" applyFont="1" applyFill="1"/>
    <xf numFmtId="164" fontId="18" fillId="0" borderId="0" xfId="11" applyNumberFormat="1" applyFont="1" applyFill="1"/>
    <xf numFmtId="0" fontId="18" fillId="0" borderId="0" xfId="10" applyFont="1"/>
    <xf numFmtId="164" fontId="16" fillId="0" borderId="0" xfId="12" applyNumberFormat="1" applyFont="1" applyFill="1"/>
    <xf numFmtId="164" fontId="19" fillId="0" borderId="0" xfId="11" applyNumberFormat="1" applyFont="1" applyFill="1"/>
    <xf numFmtId="0" fontId="19" fillId="0" borderId="0" xfId="10" applyFont="1"/>
    <xf numFmtId="0" fontId="20" fillId="0" borderId="0" xfId="10" applyFont="1"/>
    <xf numFmtId="0" fontId="1" fillId="0" borderId="0" xfId="13" applyAlignment="1">
      <alignment horizontal="right"/>
    </xf>
    <xf numFmtId="0" fontId="21" fillId="0" borderId="0" xfId="13" applyFont="1" applyAlignment="1">
      <alignment horizontal="right"/>
    </xf>
    <xf numFmtId="0" fontId="22" fillId="0" borderId="0" xfId="10" applyFont="1"/>
    <xf numFmtId="0" fontId="23" fillId="0" borderId="0" xfId="13" applyFont="1"/>
    <xf numFmtId="0" fontId="17" fillId="0" borderId="0" xfId="10" applyFont="1" applyAlignment="1">
      <alignment horizontal="right"/>
    </xf>
    <xf numFmtId="164" fontId="18" fillId="0" borderId="0" xfId="11" applyNumberFormat="1" applyFont="1"/>
    <xf numFmtId="164" fontId="16" fillId="0" borderId="0" xfId="11" applyNumberFormat="1" applyFont="1"/>
    <xf numFmtId="164" fontId="19" fillId="0" borderId="0" xfId="12" applyNumberFormat="1" applyFont="1"/>
    <xf numFmtId="164" fontId="19" fillId="0" borderId="0" xfId="11" applyNumberFormat="1" applyFont="1"/>
    <xf numFmtId="0" fontId="24" fillId="0" borderId="0" xfId="10" applyFont="1"/>
    <xf numFmtId="0" fontId="25" fillId="0" borderId="0" xfId="10" applyFont="1"/>
    <xf numFmtId="0" fontId="26" fillId="0" borderId="0" xfId="10" applyFont="1"/>
    <xf numFmtId="0" fontId="27" fillId="0" borderId="0" xfId="13" applyFont="1"/>
    <xf numFmtId="0" fontId="21" fillId="0" borderId="0" xfId="13" applyFont="1"/>
    <xf numFmtId="0" fontId="1" fillId="0" borderId="0" xfId="13"/>
    <xf numFmtId="0" fontId="14" fillId="0" borderId="0" xfId="13" applyFont="1"/>
    <xf numFmtId="0" fontId="28" fillId="0" borderId="0" xfId="10" applyFont="1"/>
    <xf numFmtId="165" fontId="22" fillId="16" borderId="18" xfId="14" applyNumberFormat="1" applyFont="1" applyFill="1" applyBorder="1" applyAlignment="1">
      <alignment horizontal="center" vertical="center"/>
    </xf>
    <xf numFmtId="165" fontId="22" fillId="16" borderId="8" xfId="14" applyNumberFormat="1" applyFont="1" applyFill="1" applyBorder="1" applyAlignment="1">
      <alignment horizontal="center" vertical="center"/>
    </xf>
    <xf numFmtId="3" fontId="16" fillId="0" borderId="0" xfId="10" applyNumberFormat="1" applyFont="1"/>
    <xf numFmtId="165" fontId="22" fillId="0" borderId="37" xfId="14" applyNumberFormat="1" applyFont="1" applyFill="1" applyBorder="1" applyAlignment="1">
      <alignment horizontal="center" vertical="center"/>
    </xf>
    <xf numFmtId="165" fontId="22" fillId="0" borderId="25" xfId="14" applyNumberFormat="1" applyFont="1" applyFill="1" applyBorder="1" applyAlignment="1">
      <alignment horizontal="center" vertical="center"/>
    </xf>
    <xf numFmtId="164" fontId="19" fillId="0" borderId="0" xfId="12" applyNumberFormat="1" applyFont="1" applyFill="1"/>
    <xf numFmtId="0" fontId="29" fillId="0" borderId="38" xfId="10" applyFont="1" applyBorder="1" applyAlignment="1">
      <alignment horizontal="center" vertical="center" wrapText="1"/>
    </xf>
    <xf numFmtId="0" fontId="29" fillId="0" borderId="14" xfId="10" applyFont="1" applyBorder="1" applyAlignment="1">
      <alignment horizontal="center" vertical="center" wrapText="1"/>
    </xf>
    <xf numFmtId="0" fontId="29" fillId="0" borderId="2" xfId="10" applyFont="1" applyBorder="1" applyAlignment="1">
      <alignment horizontal="center" vertical="center" wrapText="1"/>
    </xf>
    <xf numFmtId="0" fontId="30" fillId="0" borderId="2" xfId="10" applyFont="1" applyBorder="1" applyAlignment="1">
      <alignment horizontal="center" vertical="center" wrapText="1"/>
    </xf>
    <xf numFmtId="164" fontId="31" fillId="0" borderId="38" xfId="11" applyNumberFormat="1" applyFont="1" applyBorder="1" applyAlignment="1">
      <alignment horizontal="center" vertical="center" wrapText="1"/>
    </xf>
    <xf numFmtId="164" fontId="29" fillId="0" borderId="38" xfId="11" applyNumberFormat="1" applyFont="1" applyBorder="1" applyAlignment="1">
      <alignment horizontal="center" vertical="center" wrapText="1"/>
    </xf>
    <xf numFmtId="164" fontId="25" fillId="0" borderId="3" xfId="12" applyNumberFormat="1" applyFont="1" applyBorder="1" applyAlignment="1">
      <alignment horizontal="center" vertical="center" wrapText="1"/>
    </xf>
    <xf numFmtId="164" fontId="25" fillId="0" borderId="3" xfId="11" applyNumberFormat="1" applyFont="1" applyBorder="1" applyAlignment="1">
      <alignment horizontal="center" vertical="center" wrapText="1"/>
    </xf>
    <xf numFmtId="0" fontId="29" fillId="0" borderId="32" xfId="10" applyFont="1" applyBorder="1" applyAlignment="1">
      <alignment horizontal="center" vertical="center" wrapText="1"/>
    </xf>
    <xf numFmtId="0" fontId="29" fillId="0" borderId="13" xfId="10" applyFont="1" applyBorder="1" applyAlignment="1">
      <alignment horizontal="center" vertical="center" wrapText="1"/>
    </xf>
    <xf numFmtId="0" fontId="29" fillId="0" borderId="3" xfId="10" applyFont="1" applyBorder="1" applyAlignment="1">
      <alignment horizontal="center" vertical="center" wrapText="1"/>
    </xf>
    <xf numFmtId="0" fontId="32" fillId="16" borderId="32" xfId="10" applyFont="1" applyFill="1" applyBorder="1" applyAlignment="1">
      <alignment horizontal="center" vertical="center" wrapText="1"/>
    </xf>
    <xf numFmtId="0" fontId="29" fillId="16" borderId="32" xfId="10" applyFont="1" applyFill="1" applyBorder="1" applyAlignment="1">
      <alignment horizontal="center" vertical="center" wrapText="1"/>
    </xf>
    <xf numFmtId="0" fontId="29" fillId="10" borderId="32" xfId="10" applyFont="1" applyFill="1" applyBorder="1" applyAlignment="1">
      <alignment horizontal="center" vertical="center" wrapText="1"/>
    </xf>
    <xf numFmtId="0" fontId="29" fillId="18" borderId="32" xfId="10" applyFont="1" applyFill="1" applyBorder="1" applyAlignment="1">
      <alignment horizontal="center" vertical="center" wrapText="1"/>
    </xf>
    <xf numFmtId="0" fontId="22" fillId="0" borderId="0" xfId="10" applyFont="1" applyAlignment="1">
      <alignment wrapText="1"/>
    </xf>
    <xf numFmtId="0" fontId="33" fillId="0" borderId="0" xfId="10" applyFont="1" applyAlignment="1">
      <alignment horizontal="center" wrapText="1"/>
    </xf>
    <xf numFmtId="0" fontId="16" fillId="0" borderId="0" xfId="10" applyFont="1" applyAlignment="1">
      <alignment wrapText="1"/>
    </xf>
    <xf numFmtId="0" fontId="15" fillId="19" borderId="39" xfId="10" applyFont="1" applyFill="1" applyBorder="1" applyAlignment="1">
      <alignment vertical="center"/>
    </xf>
    <xf numFmtId="0" fontId="17" fillId="0" borderId="40" xfId="10" applyFont="1" applyBorder="1" applyAlignment="1">
      <alignment vertical="center"/>
    </xf>
    <xf numFmtId="0" fontId="22" fillId="0" borderId="41" xfId="10" applyFont="1" applyBorder="1" applyAlignment="1">
      <alignment horizontal="center" vertical="center"/>
    </xf>
    <xf numFmtId="0" fontId="22" fillId="0" borderId="40" xfId="10" applyFont="1" applyBorder="1" applyAlignment="1">
      <alignment vertical="center"/>
    </xf>
    <xf numFmtId="14" fontId="17" fillId="0" borderId="40" xfId="10" applyNumberFormat="1" applyFont="1" applyBorder="1" applyAlignment="1">
      <alignment horizontal="right" vertical="center"/>
    </xf>
    <xf numFmtId="14" fontId="22" fillId="0" borderId="40" xfId="10" applyNumberFormat="1" applyFont="1" applyBorder="1" applyAlignment="1">
      <alignment horizontal="right" vertical="center"/>
    </xf>
    <xf numFmtId="164" fontId="34" fillId="0" borderId="42" xfId="11" applyNumberFormat="1" applyFont="1" applyFill="1" applyBorder="1" applyAlignment="1">
      <alignment horizontal="center" vertical="center"/>
    </xf>
    <xf numFmtId="164" fontId="29" fillId="0" borderId="41" xfId="11" applyNumberFormat="1" applyFont="1" applyFill="1" applyBorder="1" applyAlignment="1">
      <alignment horizontal="center" vertical="center"/>
    </xf>
    <xf numFmtId="164" fontId="22" fillId="0" borderId="41" xfId="11" applyNumberFormat="1" applyFont="1" applyFill="1" applyBorder="1" applyAlignment="1">
      <alignment horizontal="center" vertical="center"/>
    </xf>
    <xf numFmtId="165" fontId="22" fillId="0" borderId="41" xfId="14" applyNumberFormat="1" applyFont="1" applyFill="1" applyBorder="1" applyAlignment="1">
      <alignment horizontal="center" vertical="center"/>
    </xf>
    <xf numFmtId="10" fontId="22" fillId="0" borderId="42" xfId="10" applyNumberFormat="1" applyFont="1" applyBorder="1" applyAlignment="1">
      <alignment horizontal="center" vertical="center"/>
    </xf>
    <xf numFmtId="0" fontId="22" fillId="0" borderId="42" xfId="10" applyFont="1" applyBorder="1" applyAlignment="1">
      <alignment horizontal="center" vertical="center"/>
    </xf>
    <xf numFmtId="164" fontId="22" fillId="0" borderId="42" xfId="12" applyNumberFormat="1" applyFont="1" applyFill="1" applyBorder="1" applyAlignment="1">
      <alignment horizontal="center" vertical="center"/>
    </xf>
    <xf numFmtId="164" fontId="22" fillId="0" borderId="42" xfId="11" applyNumberFormat="1" applyFont="1" applyFill="1" applyBorder="1" applyAlignment="1">
      <alignment horizontal="center" vertical="center"/>
    </xf>
    <xf numFmtId="3" fontId="29" fillId="0" borderId="43" xfId="10" applyNumberFormat="1" applyFont="1" applyBorder="1" applyAlignment="1">
      <alignment vertical="center"/>
    </xf>
    <xf numFmtId="3" fontId="29" fillId="0" borderId="44" xfId="10" applyNumberFormat="1" applyFont="1" applyBorder="1" applyAlignment="1">
      <alignment vertical="center"/>
    </xf>
    <xf numFmtId="0" fontId="22" fillId="0" borderId="45" xfId="10" applyFont="1" applyBorder="1" applyAlignment="1">
      <alignment horizontal="center" vertical="center"/>
    </xf>
    <xf numFmtId="3" fontId="32" fillId="0" borderId="43" xfId="10" applyNumberFormat="1" applyFont="1" applyBorder="1" applyAlignment="1">
      <alignment horizontal="right" vertical="center"/>
    </xf>
    <xf numFmtId="3" fontId="29" fillId="0" borderId="43" xfId="10" applyNumberFormat="1" applyFont="1" applyBorder="1" applyAlignment="1">
      <alignment horizontal="right" vertical="center"/>
    </xf>
    <xf numFmtId="3" fontId="29" fillId="19" borderId="43" xfId="10" applyNumberFormat="1" applyFont="1" applyFill="1" applyBorder="1" applyAlignment="1">
      <alignment horizontal="right" vertical="center"/>
    </xf>
    <xf numFmtId="3" fontId="22" fillId="0" borderId="0" xfId="10" applyNumberFormat="1" applyFont="1" applyAlignment="1">
      <alignment vertical="center"/>
    </xf>
    <xf numFmtId="0" fontId="16" fillId="0" borderId="0" xfId="10" applyFont="1" applyAlignment="1">
      <alignment vertical="center"/>
    </xf>
    <xf numFmtId="0" fontId="15" fillId="19" borderId="46" xfId="10" applyFont="1" applyFill="1" applyBorder="1" applyAlignment="1">
      <alignment vertical="center"/>
    </xf>
    <xf numFmtId="0" fontId="17" fillId="0" borderId="47" xfId="10" applyFont="1" applyBorder="1" applyAlignment="1">
      <alignment vertical="center"/>
    </xf>
    <xf numFmtId="0" fontId="22" fillId="0" borderId="48" xfId="10" applyFont="1" applyBorder="1" applyAlignment="1">
      <alignment horizontal="center" vertical="center"/>
    </xf>
    <xf numFmtId="0" fontId="17" fillId="0" borderId="47" xfId="10" applyFont="1" applyBorder="1" applyAlignment="1">
      <alignment horizontal="right" vertical="center"/>
    </xf>
    <xf numFmtId="0" fontId="22" fillId="0" borderId="47" xfId="10" applyFont="1" applyBorder="1" applyAlignment="1">
      <alignment horizontal="right" vertical="center"/>
    </xf>
    <xf numFmtId="0" fontId="22" fillId="0" borderId="47" xfId="10" applyFont="1" applyBorder="1" applyAlignment="1">
      <alignment horizontal="center" vertical="center"/>
    </xf>
    <xf numFmtId="164" fontId="34" fillId="0" borderId="48" xfId="11" applyNumberFormat="1" applyFont="1" applyFill="1" applyBorder="1" applyAlignment="1">
      <alignment horizontal="center" vertical="center"/>
    </xf>
    <xf numFmtId="164" fontId="29" fillId="0" borderId="48" xfId="11" applyNumberFormat="1" applyFont="1" applyFill="1" applyBorder="1" applyAlignment="1">
      <alignment horizontal="center" vertical="center"/>
    </xf>
    <xf numFmtId="164" fontId="22" fillId="0" borderId="48" xfId="11" applyNumberFormat="1" applyFont="1" applyFill="1" applyBorder="1" applyAlignment="1">
      <alignment horizontal="center" vertical="center"/>
    </xf>
    <xf numFmtId="164" fontId="22" fillId="0" borderId="48" xfId="12" applyNumberFormat="1" applyFont="1" applyFill="1" applyBorder="1" applyAlignment="1">
      <alignment horizontal="center" vertical="center"/>
    </xf>
    <xf numFmtId="3" fontId="29" fillId="0" borderId="11" xfId="10" applyNumberFormat="1" applyFont="1" applyBorder="1" applyAlignment="1">
      <alignment vertical="center"/>
    </xf>
    <xf numFmtId="3" fontId="29" fillId="0" borderId="49" xfId="10" applyNumberFormat="1" applyFont="1" applyBorder="1" applyAlignment="1">
      <alignment vertical="center"/>
    </xf>
    <xf numFmtId="0" fontId="22" fillId="0" borderId="17" xfId="10" applyFont="1" applyBorder="1" applyAlignment="1">
      <alignment horizontal="center" vertical="center"/>
    </xf>
    <xf numFmtId="3" fontId="32" fillId="0" borderId="50" xfId="10" applyNumberFormat="1" applyFont="1" applyBorder="1" applyAlignment="1">
      <alignment horizontal="right" vertical="center"/>
    </xf>
    <xf numFmtId="3" fontId="34" fillId="0" borderId="50" xfId="10" applyNumberFormat="1" applyFont="1" applyBorder="1" applyAlignment="1">
      <alignment horizontal="right" vertical="center"/>
    </xf>
    <xf numFmtId="3" fontId="34" fillId="19" borderId="50" xfId="10" applyNumberFormat="1" applyFont="1" applyFill="1" applyBorder="1" applyAlignment="1">
      <alignment horizontal="right" vertical="center"/>
    </xf>
    <xf numFmtId="0" fontId="25" fillId="0" borderId="0" xfId="10" applyFont="1" applyAlignment="1">
      <alignment vertical="center"/>
    </xf>
    <xf numFmtId="0" fontId="15" fillId="19" borderId="51" xfId="10" applyFont="1" applyFill="1" applyBorder="1" applyAlignment="1">
      <alignment vertical="center"/>
    </xf>
    <xf numFmtId="0" fontId="17" fillId="0" borderId="52" xfId="10" applyFont="1" applyBorder="1" applyAlignment="1">
      <alignment vertical="center"/>
    </xf>
    <xf numFmtId="14" fontId="22" fillId="0" borderId="53" xfId="10" applyNumberFormat="1" applyFont="1" applyBorder="1" applyAlignment="1">
      <alignment horizontal="center" vertical="center"/>
    </xf>
    <xf numFmtId="14" fontId="22" fillId="0" borderId="52" xfId="10" applyNumberFormat="1" applyFont="1" applyBorder="1" applyAlignment="1">
      <alignment horizontal="center" vertical="center"/>
    </xf>
    <xf numFmtId="164" fontId="34" fillId="0" borderId="53" xfId="11" applyNumberFormat="1" applyFont="1" applyFill="1" applyBorder="1" applyAlignment="1">
      <alignment horizontal="center" vertical="center"/>
    </xf>
    <xf numFmtId="10" fontId="22" fillId="0" borderId="53" xfId="10" applyNumberFormat="1" applyFont="1" applyBorder="1" applyAlignment="1">
      <alignment horizontal="center" vertical="center"/>
    </xf>
    <xf numFmtId="0" fontId="22" fillId="0" borderId="53" xfId="10" applyFont="1" applyBorder="1" applyAlignment="1">
      <alignment horizontal="center" vertical="center"/>
    </xf>
    <xf numFmtId="164" fontId="22" fillId="0" borderId="53" xfId="12" applyNumberFormat="1" applyFont="1" applyFill="1" applyBorder="1" applyAlignment="1">
      <alignment horizontal="center" vertical="center"/>
    </xf>
    <xf numFmtId="164" fontId="22" fillId="0" borderId="53" xfId="11" applyNumberFormat="1" applyFont="1" applyFill="1" applyBorder="1" applyAlignment="1">
      <alignment horizontal="center" vertical="center"/>
    </xf>
    <xf numFmtId="0" fontId="22" fillId="0" borderId="20" xfId="10" applyFont="1" applyBorder="1" applyAlignment="1">
      <alignment horizontal="center" vertical="center"/>
    </xf>
    <xf numFmtId="3" fontId="32" fillId="0" borderId="54" xfId="10" applyNumberFormat="1" applyFont="1" applyBorder="1" applyAlignment="1">
      <alignment horizontal="right" vertical="center"/>
    </xf>
    <xf numFmtId="3" fontId="29" fillId="0" borderId="54" xfId="10" applyNumberFormat="1" applyFont="1" applyBorder="1" applyAlignment="1">
      <alignment horizontal="right" vertical="center"/>
    </xf>
    <xf numFmtId="3" fontId="29" fillId="19" borderId="54" xfId="10" applyNumberFormat="1" applyFont="1" applyFill="1" applyBorder="1" applyAlignment="1">
      <alignment horizontal="right" vertical="center"/>
    </xf>
    <xf numFmtId="3" fontId="29" fillId="0" borderId="50" xfId="10" applyNumberFormat="1" applyFont="1" applyBorder="1" applyAlignment="1">
      <alignment vertical="center"/>
    </xf>
    <xf numFmtId="3" fontId="29" fillId="0" borderId="26" xfId="10" applyNumberFormat="1" applyFont="1" applyBorder="1" applyAlignment="1">
      <alignment vertical="center"/>
    </xf>
    <xf numFmtId="14" fontId="22" fillId="0" borderId="42" xfId="10" applyNumberFormat="1" applyFont="1" applyBorder="1" applyAlignment="1">
      <alignment horizontal="center" vertical="center"/>
    </xf>
    <xf numFmtId="1" fontId="17" fillId="0" borderId="40" xfId="10" applyNumberFormat="1" applyFont="1" applyBorder="1" applyAlignment="1">
      <alignment horizontal="right" vertical="center"/>
    </xf>
    <xf numFmtId="14" fontId="22" fillId="0" borderId="40" xfId="10" applyNumberFormat="1" applyFont="1" applyBorder="1" applyAlignment="1">
      <alignment horizontal="center" vertical="center"/>
    </xf>
    <xf numFmtId="164" fontId="29" fillId="0" borderId="43" xfId="12" applyNumberFormat="1" applyFont="1" applyFill="1" applyBorder="1" applyAlignment="1">
      <alignment horizontal="right" vertical="center"/>
    </xf>
    <xf numFmtId="164" fontId="29" fillId="19" borderId="43" xfId="12" applyNumberFormat="1" applyFont="1" applyFill="1" applyBorder="1" applyAlignment="1">
      <alignment horizontal="right" vertical="center"/>
    </xf>
    <xf numFmtId="164" fontId="29" fillId="0" borderId="47" xfId="11" applyNumberFormat="1" applyFont="1" applyFill="1" applyBorder="1" applyAlignment="1">
      <alignment horizontal="center" vertical="center"/>
    </xf>
    <xf numFmtId="0" fontId="35" fillId="0" borderId="47" xfId="13" applyFont="1" applyBorder="1"/>
    <xf numFmtId="164" fontId="22" fillId="0" borderId="0" xfId="11" applyNumberFormat="1" applyFont="1" applyFill="1" applyBorder="1" applyAlignment="1">
      <alignment horizontal="center" vertical="center"/>
    </xf>
    <xf numFmtId="164" fontId="34" fillId="0" borderId="50" xfId="12" applyNumberFormat="1" applyFont="1" applyFill="1" applyBorder="1" applyAlignment="1">
      <alignment horizontal="right" vertical="center"/>
    </xf>
    <xf numFmtId="0" fontId="22" fillId="10" borderId="41" xfId="10" applyFont="1" applyFill="1" applyBorder="1" applyAlignment="1">
      <alignment horizontal="center" vertical="center"/>
    </xf>
    <xf numFmtId="14" fontId="22" fillId="10" borderId="42" xfId="10" applyNumberFormat="1" applyFont="1" applyFill="1" applyBorder="1" applyAlignment="1">
      <alignment horizontal="center" vertical="center"/>
    </xf>
    <xf numFmtId="1" fontId="22" fillId="10" borderId="40" xfId="10" applyNumberFormat="1" applyFont="1" applyFill="1" applyBorder="1" applyAlignment="1">
      <alignment horizontal="right" vertical="center"/>
    </xf>
    <xf numFmtId="0" fontId="22" fillId="10" borderId="52" xfId="10" applyFont="1" applyFill="1" applyBorder="1" applyAlignment="1">
      <alignment horizontal="right" vertical="center"/>
    </xf>
    <xf numFmtId="0" fontId="22" fillId="10" borderId="52" xfId="10" applyFont="1" applyFill="1" applyBorder="1" applyAlignment="1">
      <alignment horizontal="center" vertical="center"/>
    </xf>
    <xf numFmtId="164" fontId="34" fillId="10" borderId="42" xfId="11" applyNumberFormat="1" applyFont="1" applyFill="1" applyBorder="1" applyAlignment="1">
      <alignment horizontal="center" vertical="center"/>
    </xf>
    <xf numFmtId="164" fontId="29" fillId="10" borderId="41" xfId="11" applyNumberFormat="1" applyFont="1" applyFill="1" applyBorder="1" applyAlignment="1">
      <alignment horizontal="center" vertical="center"/>
    </xf>
    <xf numFmtId="164" fontId="22" fillId="10" borderId="41" xfId="11" applyNumberFormat="1" applyFont="1" applyFill="1" applyBorder="1" applyAlignment="1">
      <alignment horizontal="center" vertical="center"/>
    </xf>
    <xf numFmtId="10" fontId="22" fillId="10" borderId="42" xfId="10" applyNumberFormat="1" applyFont="1" applyFill="1" applyBorder="1" applyAlignment="1">
      <alignment horizontal="center" vertical="center"/>
    </xf>
    <xf numFmtId="0" fontId="22" fillId="10" borderId="42" xfId="10" applyFont="1" applyFill="1" applyBorder="1" applyAlignment="1">
      <alignment horizontal="center" vertical="center"/>
    </xf>
    <xf numFmtId="164" fontId="22" fillId="10" borderId="42" xfId="12" applyNumberFormat="1" applyFont="1" applyFill="1" applyBorder="1" applyAlignment="1">
      <alignment horizontal="center" vertical="center"/>
    </xf>
    <xf numFmtId="164" fontId="22" fillId="10" borderId="42" xfId="11" applyNumberFormat="1" applyFont="1" applyFill="1" applyBorder="1" applyAlignment="1">
      <alignment horizontal="center" vertical="center"/>
    </xf>
    <xf numFmtId="3" fontId="29" fillId="10" borderId="43" xfId="10" applyNumberFormat="1" applyFont="1" applyFill="1" applyBorder="1" applyAlignment="1">
      <alignment vertical="center"/>
    </xf>
    <xf numFmtId="3" fontId="29" fillId="10" borderId="44" xfId="10" applyNumberFormat="1" applyFont="1" applyFill="1" applyBorder="1" applyAlignment="1">
      <alignment vertical="center"/>
    </xf>
    <xf numFmtId="0" fontId="22" fillId="10" borderId="45" xfId="10" applyFont="1" applyFill="1" applyBorder="1" applyAlignment="1">
      <alignment horizontal="center" vertical="center"/>
    </xf>
    <xf numFmtId="3" fontId="32" fillId="10" borderId="43" xfId="10" applyNumberFormat="1" applyFont="1" applyFill="1" applyBorder="1" applyAlignment="1">
      <alignment horizontal="right" vertical="center"/>
    </xf>
    <xf numFmtId="3" fontId="29" fillId="10" borderId="43" xfId="10" applyNumberFormat="1" applyFont="1" applyFill="1" applyBorder="1" applyAlignment="1">
      <alignment horizontal="right" vertical="center"/>
    </xf>
    <xf numFmtId="0" fontId="16" fillId="10" borderId="0" xfId="10" applyFont="1" applyFill="1" applyAlignment="1">
      <alignment vertical="center"/>
    </xf>
    <xf numFmtId="0" fontId="22" fillId="10" borderId="48" xfId="10" applyFont="1" applyFill="1" applyBorder="1" applyAlignment="1">
      <alignment horizontal="center" vertical="center"/>
    </xf>
    <xf numFmtId="0" fontId="17" fillId="10" borderId="47" xfId="10" applyFont="1" applyFill="1" applyBorder="1" applyAlignment="1">
      <alignment horizontal="right" vertical="center"/>
    </xf>
    <xf numFmtId="0" fontId="22" fillId="10" borderId="47" xfId="10" applyFont="1" applyFill="1" applyBorder="1" applyAlignment="1">
      <alignment horizontal="right" vertical="center"/>
    </xf>
    <xf numFmtId="0" fontId="22" fillId="10" borderId="47" xfId="10" applyFont="1" applyFill="1" applyBorder="1" applyAlignment="1">
      <alignment horizontal="center" vertical="center"/>
    </xf>
    <xf numFmtId="164" fontId="34" fillId="10" borderId="48" xfId="11" applyNumberFormat="1" applyFont="1" applyFill="1" applyBorder="1" applyAlignment="1">
      <alignment horizontal="center" vertical="center"/>
    </xf>
    <xf numFmtId="164" fontId="29" fillId="10" borderId="47" xfId="11" applyNumberFormat="1" applyFont="1" applyFill="1" applyBorder="1" applyAlignment="1">
      <alignment horizontal="center" vertical="center"/>
    </xf>
    <xf numFmtId="0" fontId="35" fillId="10" borderId="47" xfId="13" applyFont="1" applyFill="1" applyBorder="1"/>
    <xf numFmtId="164" fontId="22" fillId="10" borderId="0" xfId="11" applyNumberFormat="1" applyFont="1" applyFill="1" applyBorder="1" applyAlignment="1">
      <alignment horizontal="center" vertical="center"/>
    </xf>
    <xf numFmtId="164" fontId="22" fillId="10" borderId="48" xfId="12" applyNumberFormat="1" applyFont="1" applyFill="1" applyBorder="1" applyAlignment="1">
      <alignment horizontal="center" vertical="center"/>
    </xf>
    <xf numFmtId="164" fontId="22" fillId="10" borderId="48" xfId="11" applyNumberFormat="1" applyFont="1" applyFill="1" applyBorder="1" applyAlignment="1">
      <alignment horizontal="center" vertical="center"/>
    </xf>
    <xf numFmtId="3" fontId="29" fillId="10" borderId="50" xfId="10" applyNumberFormat="1" applyFont="1" applyFill="1" applyBorder="1" applyAlignment="1">
      <alignment vertical="center"/>
    </xf>
    <xf numFmtId="3" fontId="29" fillId="10" borderId="26" xfId="10" applyNumberFormat="1" applyFont="1" applyFill="1" applyBorder="1" applyAlignment="1">
      <alignment vertical="center"/>
    </xf>
    <xf numFmtId="0" fontId="22" fillId="10" borderId="17" xfId="10" applyFont="1" applyFill="1" applyBorder="1" applyAlignment="1">
      <alignment horizontal="center" vertical="center"/>
    </xf>
    <xf numFmtId="3" fontId="32" fillId="10" borderId="50" xfId="10" applyNumberFormat="1" applyFont="1" applyFill="1" applyBorder="1" applyAlignment="1">
      <alignment horizontal="right" vertical="center"/>
    </xf>
    <xf numFmtId="0" fontId="25" fillId="10" borderId="0" xfId="10" applyFont="1" applyFill="1" applyAlignment="1">
      <alignment vertical="center"/>
    </xf>
    <xf numFmtId="1" fontId="22" fillId="0" borderId="40" xfId="10" applyNumberFormat="1" applyFont="1" applyBorder="1" applyAlignment="1">
      <alignment horizontal="right" vertical="center"/>
    </xf>
    <xf numFmtId="0" fontId="22" fillId="0" borderId="52" xfId="10" applyFont="1" applyBorder="1" applyAlignment="1">
      <alignment horizontal="center" vertical="center"/>
    </xf>
    <xf numFmtId="0" fontId="17" fillId="0" borderId="52" xfId="10" applyFont="1" applyBorder="1" applyAlignment="1">
      <alignment horizontal="right" vertical="center"/>
    </xf>
    <xf numFmtId="0" fontId="22" fillId="0" borderId="52" xfId="10" applyFont="1" applyBorder="1" applyAlignment="1">
      <alignment horizontal="right" vertical="center"/>
    </xf>
    <xf numFmtId="164" fontId="29" fillId="0" borderId="53" xfId="11" applyNumberFormat="1" applyFont="1" applyFill="1" applyBorder="1" applyAlignment="1">
      <alignment horizontal="center" vertical="center"/>
    </xf>
    <xf numFmtId="0" fontId="35" fillId="0" borderId="53" xfId="13" applyFont="1" applyBorder="1"/>
    <xf numFmtId="3" fontId="29" fillId="0" borderId="55" xfId="10" applyNumberFormat="1" applyFont="1" applyBorder="1" applyAlignment="1">
      <alignment vertical="center"/>
    </xf>
    <xf numFmtId="3" fontId="29" fillId="0" borderId="56" xfId="10" applyNumberFormat="1" applyFont="1" applyBorder="1" applyAlignment="1">
      <alignment vertical="center"/>
    </xf>
    <xf numFmtId="3" fontId="32" fillId="10" borderId="55" xfId="10" applyNumberFormat="1" applyFont="1" applyFill="1" applyBorder="1" applyAlignment="1">
      <alignment horizontal="right" vertical="center"/>
    </xf>
    <xf numFmtId="3" fontId="29" fillId="0" borderId="55" xfId="10" applyNumberFormat="1" applyFont="1" applyBorder="1" applyAlignment="1">
      <alignment horizontal="right" vertical="center"/>
    </xf>
    <xf numFmtId="165" fontId="22" fillId="0" borderId="0" xfId="9" applyNumberFormat="1" applyFont="1" applyAlignment="1">
      <alignment vertical="center"/>
    </xf>
    <xf numFmtId="0" fontId="35" fillId="0" borderId="48" xfId="13" applyFont="1" applyBorder="1"/>
    <xf numFmtId="164" fontId="22" fillId="0" borderId="25" xfId="11" applyNumberFormat="1" applyFont="1" applyFill="1" applyBorder="1" applyAlignment="1">
      <alignment horizontal="center" vertical="center"/>
    </xf>
    <xf numFmtId="16" fontId="15" fillId="19" borderId="39" xfId="10" applyNumberFormat="1" applyFont="1" applyFill="1" applyBorder="1" applyAlignment="1">
      <alignment vertical="center"/>
    </xf>
    <xf numFmtId="165" fontId="22" fillId="0" borderId="42" xfId="14" applyNumberFormat="1" applyFont="1" applyFill="1" applyBorder="1" applyAlignment="1">
      <alignment horizontal="center" vertical="center"/>
    </xf>
    <xf numFmtId="0" fontId="36" fillId="0" borderId="47" xfId="10" applyFont="1" applyBorder="1" applyAlignment="1">
      <alignment vertical="center"/>
    </xf>
    <xf numFmtId="3" fontId="32" fillId="0" borderId="55" xfId="10" applyNumberFormat="1" applyFont="1" applyBorder="1" applyAlignment="1">
      <alignment horizontal="right" vertical="center"/>
    </xf>
    <xf numFmtId="0" fontId="22" fillId="0" borderId="40" xfId="10" applyFont="1" applyBorder="1" applyAlignment="1">
      <alignment horizontal="right" vertical="center"/>
    </xf>
    <xf numFmtId="0" fontId="22" fillId="0" borderId="40" xfId="10" applyFont="1" applyBorder="1" applyAlignment="1">
      <alignment horizontal="center" vertical="center"/>
    </xf>
    <xf numFmtId="164" fontId="29" fillId="0" borderId="40" xfId="11" applyNumberFormat="1" applyFont="1" applyFill="1" applyBorder="1" applyAlignment="1">
      <alignment horizontal="center" vertical="center"/>
    </xf>
    <xf numFmtId="3" fontId="29" fillId="0" borderId="50" xfId="10" applyNumberFormat="1" applyFont="1" applyBorder="1" applyAlignment="1">
      <alignment horizontal="right" vertical="center"/>
    </xf>
    <xf numFmtId="0" fontId="17" fillId="0" borderId="40" xfId="10" applyFont="1" applyBorder="1" applyAlignment="1">
      <alignment horizontal="right" vertical="center"/>
    </xf>
    <xf numFmtId="0" fontId="22" fillId="0" borderId="48" xfId="10" applyFont="1" applyBorder="1" applyAlignment="1">
      <alignment horizontal="right" vertical="center"/>
    </xf>
    <xf numFmtId="164" fontId="29" fillId="0" borderId="52" xfId="11" applyNumberFormat="1" applyFont="1" applyFill="1" applyBorder="1" applyAlignment="1">
      <alignment horizontal="center" vertical="center"/>
    </xf>
    <xf numFmtId="3" fontId="29" fillId="20" borderId="43" xfId="10" applyNumberFormat="1" applyFont="1" applyFill="1" applyBorder="1" applyAlignment="1">
      <alignment horizontal="right" vertical="center"/>
    </xf>
    <xf numFmtId="14" fontId="22" fillId="0" borderId="52" xfId="10" applyNumberFormat="1" applyFont="1" applyBorder="1" applyAlignment="1">
      <alignment horizontal="right" vertical="center"/>
    </xf>
    <xf numFmtId="0" fontId="37" fillId="0" borderId="47" xfId="13" applyFont="1" applyBorder="1"/>
    <xf numFmtId="164" fontId="38" fillId="0" borderId="0" xfId="11" applyNumberFormat="1" applyFont="1" applyFill="1" applyBorder="1" applyAlignment="1">
      <alignment horizontal="center" vertical="center"/>
    </xf>
    <xf numFmtId="0" fontId="38" fillId="0" borderId="48" xfId="10" applyFont="1" applyBorder="1" applyAlignment="1">
      <alignment horizontal="center" vertical="center"/>
    </xf>
    <xf numFmtId="164" fontId="38" fillId="0" borderId="48" xfId="12" applyNumberFormat="1" applyFont="1" applyFill="1" applyBorder="1" applyAlignment="1">
      <alignment horizontal="center" vertical="center"/>
    </xf>
    <xf numFmtId="164" fontId="38" fillId="0" borderId="48" xfId="11" applyNumberFormat="1" applyFont="1" applyFill="1" applyBorder="1" applyAlignment="1">
      <alignment horizontal="center" vertical="center"/>
    </xf>
    <xf numFmtId="3" fontId="32" fillId="0" borderId="50" xfId="10" applyNumberFormat="1" applyFont="1" applyBorder="1" applyAlignment="1">
      <alignment vertical="center"/>
    </xf>
    <xf numFmtId="3" fontId="32" fillId="0" borderId="26" xfId="10" applyNumberFormat="1" applyFont="1" applyBorder="1" applyAlignment="1">
      <alignment vertical="center"/>
    </xf>
    <xf numFmtId="164" fontId="34" fillId="19" borderId="50" xfId="12" applyNumberFormat="1" applyFont="1" applyFill="1" applyBorder="1" applyAlignment="1">
      <alignment horizontal="right" vertical="center"/>
    </xf>
    <xf numFmtId="0" fontId="24" fillId="0" borderId="0" xfId="10" applyFont="1" applyAlignment="1">
      <alignment vertical="center"/>
    </xf>
    <xf numFmtId="0" fontId="22" fillId="0" borderId="0" xfId="0" applyFont="1" applyAlignment="1">
      <alignment vertical="center"/>
    </xf>
    <xf numFmtId="0" fontId="16" fillId="21" borderId="0" xfId="10" applyFont="1" applyFill="1" applyAlignment="1">
      <alignment vertical="center"/>
    </xf>
    <xf numFmtId="164" fontId="39" fillId="0" borderId="47" xfId="11" applyNumberFormat="1" applyFont="1" applyFill="1" applyBorder="1" applyAlignment="1">
      <alignment horizontal="center" vertical="center"/>
    </xf>
    <xf numFmtId="0" fontId="25" fillId="21" borderId="0" xfId="10" applyFont="1" applyFill="1" applyAlignment="1">
      <alignment vertical="center"/>
    </xf>
    <xf numFmtId="0" fontId="40" fillId="22" borderId="39" xfId="10" applyFont="1" applyFill="1" applyBorder="1" applyAlignment="1">
      <alignment vertical="center"/>
    </xf>
    <xf numFmtId="0" fontId="17" fillId="0" borderId="40" xfId="10" applyFont="1" applyBorder="1" applyAlignment="1">
      <alignment vertical="center" wrapText="1"/>
    </xf>
    <xf numFmtId="0" fontId="17" fillId="0" borderId="41" xfId="10" applyFont="1" applyBorder="1" applyAlignment="1">
      <alignment horizontal="center" vertical="center"/>
    </xf>
    <xf numFmtId="14" fontId="17" fillId="0" borderId="42" xfId="10" applyNumberFormat="1" applyFont="1" applyBorder="1" applyAlignment="1">
      <alignment horizontal="center" vertical="center"/>
    </xf>
    <xf numFmtId="3" fontId="34" fillId="0" borderId="55" xfId="10" applyNumberFormat="1" applyFont="1" applyBorder="1" applyAlignment="1">
      <alignment horizontal="right" vertical="center"/>
    </xf>
    <xf numFmtId="0" fontId="17" fillId="0" borderId="52" xfId="10" applyFont="1" applyBorder="1" applyAlignment="1">
      <alignment vertical="center" wrapText="1"/>
    </xf>
    <xf numFmtId="164" fontId="39" fillId="0" borderId="53" xfId="11" applyNumberFormat="1" applyFont="1" applyFill="1" applyBorder="1" applyAlignment="1">
      <alignment horizontal="center" vertical="center"/>
    </xf>
    <xf numFmtId="164" fontId="32" fillId="0" borderId="47" xfId="11" applyNumberFormat="1" applyFont="1" applyFill="1" applyBorder="1" applyAlignment="1">
      <alignment horizontal="center" vertical="center"/>
    </xf>
    <xf numFmtId="1" fontId="41" fillId="0" borderId="40" xfId="10" applyNumberFormat="1" applyFont="1" applyBorder="1" applyAlignment="1">
      <alignment horizontal="right" vertical="center"/>
    </xf>
    <xf numFmtId="3" fontId="39" fillId="0" borderId="43" xfId="10" applyNumberFormat="1" applyFont="1" applyBorder="1" applyAlignment="1">
      <alignment horizontal="right" vertical="center"/>
    </xf>
    <xf numFmtId="0" fontId="28" fillId="0" borderId="0" xfId="10" applyFont="1" applyAlignment="1">
      <alignment vertical="center"/>
    </xf>
    <xf numFmtId="0" fontId="22" fillId="0" borderId="47" xfId="10" applyFont="1" applyBorder="1" applyAlignment="1">
      <alignment vertical="center"/>
    </xf>
    <xf numFmtId="0" fontId="41" fillId="0" borderId="48" xfId="10" applyFont="1" applyBorder="1" applyAlignment="1">
      <alignment horizontal="center" vertical="center"/>
    </xf>
    <xf numFmtId="0" fontId="41" fillId="0" borderId="47" xfId="10" applyFont="1" applyBorder="1" applyAlignment="1">
      <alignment horizontal="right" vertical="center"/>
    </xf>
    <xf numFmtId="3" fontId="39" fillId="0" borderId="50" xfId="10" applyNumberFormat="1" applyFont="1" applyBorder="1" applyAlignment="1">
      <alignment horizontal="right" vertical="center"/>
    </xf>
    <xf numFmtId="0" fontId="15" fillId="23" borderId="39" xfId="10" applyFont="1" applyFill="1" applyBorder="1" applyAlignment="1">
      <alignment vertical="center"/>
    </xf>
    <xf numFmtId="3" fontId="29" fillId="23" borderId="43" xfId="10" applyNumberFormat="1" applyFont="1" applyFill="1" applyBorder="1" applyAlignment="1">
      <alignment horizontal="right" vertical="center"/>
    </xf>
    <xf numFmtId="0" fontId="15" fillId="23" borderId="46" xfId="10" applyFont="1" applyFill="1" applyBorder="1" applyAlignment="1">
      <alignment vertical="center"/>
    </xf>
    <xf numFmtId="3" fontId="34" fillId="23" borderId="50" xfId="10" applyNumberFormat="1" applyFont="1" applyFill="1" applyBorder="1" applyAlignment="1">
      <alignment horizontal="right" vertical="center"/>
    </xf>
    <xf numFmtId="0" fontId="43" fillId="0" borderId="29" xfId="15" applyFont="1" applyBorder="1"/>
    <xf numFmtId="0" fontId="22" fillId="0" borderId="59" xfId="15" applyFont="1" applyBorder="1" applyAlignment="1">
      <alignment horizontal="center" vertical="center" wrapText="1"/>
    </xf>
    <xf numFmtId="0" fontId="43" fillId="0" borderId="57" xfId="15" applyFont="1" applyBorder="1"/>
    <xf numFmtId="165" fontId="22" fillId="0" borderId="60" xfId="15" applyNumberFormat="1" applyFont="1" applyBorder="1" applyAlignment="1">
      <alignment horizontal="center" vertical="center"/>
    </xf>
    <xf numFmtId="0" fontId="15" fillId="24" borderId="39" xfId="10" applyFont="1" applyFill="1" applyBorder="1" applyAlignment="1">
      <alignment vertical="center"/>
    </xf>
    <xf numFmtId="0" fontId="15" fillId="24" borderId="46" xfId="10" applyFont="1" applyFill="1" applyBorder="1" applyAlignment="1">
      <alignment vertical="center"/>
    </xf>
    <xf numFmtId="0" fontId="15" fillId="0" borderId="0" xfId="10" applyFont="1" applyAlignment="1">
      <alignment vertical="center"/>
    </xf>
    <xf numFmtId="0" fontId="22" fillId="0" borderId="0" xfId="10" applyFont="1" applyAlignment="1">
      <alignment vertical="center"/>
    </xf>
    <xf numFmtId="0" fontId="22" fillId="0" borderId="0" xfId="10" applyFont="1" applyAlignment="1">
      <alignment horizontal="center" vertical="center"/>
    </xf>
    <xf numFmtId="0" fontId="22" fillId="0" borderId="0" xfId="10" applyFont="1" applyAlignment="1">
      <alignment horizontal="right" vertical="center"/>
    </xf>
    <xf numFmtId="164" fontId="34" fillId="0" borderId="0" xfId="11" applyNumberFormat="1" applyFont="1" applyFill="1" applyBorder="1" applyAlignment="1">
      <alignment horizontal="center" vertical="center"/>
    </xf>
    <xf numFmtId="164" fontId="29" fillId="0" borderId="0" xfId="11" applyNumberFormat="1" applyFont="1" applyFill="1" applyBorder="1" applyAlignment="1">
      <alignment horizontal="center" vertical="center"/>
    </xf>
    <xf numFmtId="0" fontId="35" fillId="0" borderId="0" xfId="13" applyFont="1"/>
    <xf numFmtId="164" fontId="22" fillId="0" borderId="0" xfId="12" applyNumberFormat="1" applyFont="1" applyFill="1" applyBorder="1" applyAlignment="1">
      <alignment horizontal="center" vertical="center"/>
    </xf>
    <xf numFmtId="3" fontId="29" fillId="0" borderId="0" xfId="10" applyNumberFormat="1" applyFont="1" applyAlignment="1">
      <alignment vertical="center"/>
    </xf>
    <xf numFmtId="3" fontId="29" fillId="0" borderId="0" xfId="10" applyNumberFormat="1" applyFont="1" applyAlignment="1">
      <alignment horizontal="right" vertical="center"/>
    </xf>
    <xf numFmtId="3" fontId="29" fillId="0" borderId="61" xfId="10" applyNumberFormat="1" applyFont="1" applyBorder="1" applyAlignment="1">
      <alignment horizontal="right" vertical="center"/>
    </xf>
    <xf numFmtId="3" fontId="29" fillId="21" borderId="61" xfId="10" applyNumberFormat="1" applyFont="1" applyFill="1" applyBorder="1" applyAlignment="1">
      <alignment horizontal="right" vertical="center"/>
    </xf>
    <xf numFmtId="0" fontId="29" fillId="0" borderId="0" xfId="10" applyFont="1" applyAlignment="1">
      <alignment vertical="center"/>
    </xf>
    <xf numFmtId="164" fontId="44" fillId="0" borderId="0" xfId="11" applyNumberFormat="1" applyFont="1" applyBorder="1"/>
    <xf numFmtId="164" fontId="16" fillId="0" borderId="0" xfId="11" applyNumberFormat="1" applyFont="1" applyBorder="1"/>
    <xf numFmtId="164" fontId="16" fillId="0" borderId="0" xfId="12" applyNumberFormat="1" applyFont="1" applyBorder="1"/>
    <xf numFmtId="3" fontId="25" fillId="0" borderId="0" xfId="10" applyNumberFormat="1" applyFont="1"/>
    <xf numFmtId="0" fontId="29" fillId="25" borderId="0" xfId="10" applyFont="1" applyFill="1" applyAlignment="1">
      <alignment vertical="center"/>
    </xf>
    <xf numFmtId="0" fontId="22" fillId="25" borderId="0" xfId="10" applyFont="1" applyFill="1" applyAlignment="1">
      <alignment vertical="center"/>
    </xf>
    <xf numFmtId="0" fontId="22" fillId="25" borderId="0" xfId="10" applyFont="1" applyFill="1" applyAlignment="1">
      <alignment horizontal="center" vertical="center"/>
    </xf>
    <xf numFmtId="0" fontId="17" fillId="25" borderId="0" xfId="10" applyFont="1" applyFill="1" applyAlignment="1">
      <alignment horizontal="right" vertical="center"/>
    </xf>
    <xf numFmtId="164" fontId="45" fillId="25" borderId="0" xfId="11" applyNumberFormat="1" applyFont="1" applyFill="1" applyBorder="1" applyAlignment="1">
      <alignment horizontal="center" vertical="center"/>
    </xf>
    <xf numFmtId="164" fontId="22" fillId="25" borderId="0" xfId="11" applyNumberFormat="1" applyFont="1" applyFill="1" applyBorder="1" applyAlignment="1">
      <alignment horizontal="center" vertical="center"/>
    </xf>
    <xf numFmtId="164" fontId="45" fillId="0" borderId="0" xfId="11" applyNumberFormat="1" applyFont="1" applyBorder="1" applyAlignment="1">
      <alignment horizontal="center" vertical="center"/>
    </xf>
    <xf numFmtId="164" fontId="22" fillId="0" borderId="0" xfId="11" applyNumberFormat="1" applyFont="1" applyBorder="1" applyAlignment="1">
      <alignment horizontal="center" vertical="center"/>
    </xf>
    <xf numFmtId="164" fontId="22" fillId="25" borderId="62" xfId="11" applyNumberFormat="1" applyFont="1" applyFill="1" applyBorder="1" applyAlignment="1">
      <alignment horizontal="center" vertical="center"/>
    </xf>
    <xf numFmtId="3" fontId="32" fillId="0" borderId="0" xfId="10" applyNumberFormat="1" applyFont="1" applyAlignment="1">
      <alignment horizontal="right" vertical="center"/>
    </xf>
    <xf numFmtId="3" fontId="29" fillId="25" borderId="0" xfId="10" applyNumberFormat="1" applyFont="1" applyFill="1" applyAlignment="1">
      <alignment horizontal="right" vertical="center"/>
    </xf>
    <xf numFmtId="3" fontId="29" fillId="25" borderId="63" xfId="10" applyNumberFormat="1" applyFont="1" applyFill="1" applyBorder="1" applyAlignment="1">
      <alignment horizontal="right" vertical="center"/>
    </xf>
    <xf numFmtId="43" fontId="25" fillId="0" borderId="0" xfId="1" applyFont="1" applyAlignment="1">
      <alignment vertical="center"/>
    </xf>
    <xf numFmtId="0" fontId="25" fillId="25" borderId="64" xfId="10" applyFont="1" applyFill="1" applyBorder="1" applyAlignment="1">
      <alignment horizontal="right"/>
    </xf>
    <xf numFmtId="0" fontId="22" fillId="25" borderId="64" xfId="10" applyFont="1" applyFill="1" applyBorder="1" applyAlignment="1">
      <alignment vertical="center"/>
    </xf>
    <xf numFmtId="0" fontId="22" fillId="25" borderId="64" xfId="10" applyFont="1" applyFill="1" applyBorder="1" applyAlignment="1">
      <alignment horizontal="center" vertical="center"/>
    </xf>
    <xf numFmtId="0" fontId="17" fillId="25" borderId="64" xfId="10" applyFont="1" applyFill="1" applyBorder="1" applyAlignment="1">
      <alignment horizontal="right" vertical="center"/>
    </xf>
    <xf numFmtId="0" fontId="34" fillId="25" borderId="64" xfId="10" applyFont="1" applyFill="1" applyBorder="1" applyAlignment="1">
      <alignment vertical="center"/>
    </xf>
    <xf numFmtId="0" fontId="29" fillId="25" borderId="64" xfId="10" applyFont="1" applyFill="1" applyBorder="1" applyAlignment="1">
      <alignment vertical="center"/>
    </xf>
    <xf numFmtId="164" fontId="45" fillId="25" borderId="64" xfId="11" applyNumberFormat="1" applyFont="1" applyFill="1" applyBorder="1" applyAlignment="1">
      <alignment horizontal="center" vertical="center"/>
    </xf>
    <xf numFmtId="164" fontId="22" fillId="25" borderId="64" xfId="11" applyNumberFormat="1" applyFont="1" applyFill="1" applyBorder="1" applyAlignment="1">
      <alignment horizontal="center" vertical="center"/>
    </xf>
    <xf numFmtId="164" fontId="45" fillId="0" borderId="64" xfId="11" applyNumberFormat="1" applyFont="1" applyBorder="1" applyAlignment="1">
      <alignment horizontal="center" vertical="center"/>
    </xf>
    <xf numFmtId="164" fontId="22" fillId="0" borderId="64" xfId="11" applyNumberFormat="1" applyFont="1" applyBorder="1" applyAlignment="1">
      <alignment horizontal="center" vertical="center"/>
    </xf>
    <xf numFmtId="3" fontId="32" fillId="0" borderId="64" xfId="10" applyNumberFormat="1" applyFont="1" applyBorder="1" applyAlignment="1">
      <alignment horizontal="right" vertical="center"/>
    </xf>
    <xf numFmtId="3" fontId="34" fillId="25" borderId="64" xfId="10" applyNumberFormat="1" applyFont="1" applyFill="1" applyBorder="1" applyAlignment="1">
      <alignment horizontal="right" vertical="center"/>
    </xf>
    <xf numFmtId="3" fontId="34" fillId="25" borderId="65" xfId="10" applyNumberFormat="1" applyFont="1" applyFill="1" applyBorder="1" applyAlignment="1">
      <alignment horizontal="right" vertical="center"/>
    </xf>
    <xf numFmtId="0" fontId="25" fillId="25" borderId="0" xfId="10" applyFont="1" applyFill="1" applyAlignment="1">
      <alignment horizontal="right"/>
    </xf>
    <xf numFmtId="3" fontId="29" fillId="25" borderId="66" xfId="10" applyNumberFormat="1" applyFont="1" applyFill="1" applyBorder="1" applyAlignment="1">
      <alignment horizontal="right" vertical="center"/>
    </xf>
    <xf numFmtId="0" fontId="25" fillId="0" borderId="0" xfId="10" applyFont="1" applyAlignment="1">
      <alignment horizontal="right"/>
    </xf>
    <xf numFmtId="0" fontId="17" fillId="0" borderId="0" xfId="10" applyFont="1" applyAlignment="1">
      <alignment horizontal="right" vertical="center"/>
    </xf>
    <xf numFmtId="164" fontId="45" fillId="0" borderId="0" xfId="11" applyNumberFormat="1" applyFont="1" applyFill="1" applyBorder="1" applyAlignment="1">
      <alignment horizontal="center" vertical="center"/>
    </xf>
    <xf numFmtId="3" fontId="46" fillId="0" borderId="66" xfId="10" applyNumberFormat="1" applyFont="1" applyBorder="1" applyAlignment="1">
      <alignment horizontal="right" vertical="center"/>
    </xf>
    <xf numFmtId="3" fontId="46" fillId="0" borderId="0" xfId="10" applyNumberFormat="1" applyFont="1" applyAlignment="1">
      <alignment horizontal="right" vertical="center"/>
    </xf>
    <xf numFmtId="0" fontId="29" fillId="26" borderId="0" xfId="10" applyFont="1" applyFill="1" applyAlignment="1">
      <alignment vertical="center"/>
    </xf>
    <xf numFmtId="0" fontId="22" fillId="26" borderId="0" xfId="10" applyFont="1" applyFill="1" applyAlignment="1">
      <alignment vertical="center"/>
    </xf>
    <xf numFmtId="0" fontId="22" fillId="26" borderId="0" xfId="10" applyFont="1" applyFill="1" applyAlignment="1">
      <alignment horizontal="center" vertical="center"/>
    </xf>
    <xf numFmtId="0" fontId="17" fillId="26" borderId="0" xfId="10" applyFont="1" applyFill="1" applyAlignment="1">
      <alignment horizontal="right" vertical="center"/>
    </xf>
    <xf numFmtId="164" fontId="45" fillId="26" borderId="0" xfId="11" applyNumberFormat="1" applyFont="1" applyFill="1" applyBorder="1" applyAlignment="1">
      <alignment horizontal="center" vertical="center"/>
    </xf>
    <xf numFmtId="164" fontId="22" fillId="26" borderId="0" xfId="11" applyNumberFormat="1" applyFont="1" applyFill="1" applyBorder="1" applyAlignment="1">
      <alignment horizontal="center" vertical="center"/>
    </xf>
    <xf numFmtId="3" fontId="29" fillId="26" borderId="0" xfId="10" applyNumberFormat="1" applyFont="1" applyFill="1" applyAlignment="1">
      <alignment horizontal="right" vertical="center"/>
    </xf>
    <xf numFmtId="3" fontId="29" fillId="26" borderId="66" xfId="10" applyNumberFormat="1" applyFont="1" applyFill="1" applyBorder="1" applyAlignment="1">
      <alignment horizontal="right" vertical="center"/>
    </xf>
    <xf numFmtId="0" fontId="25" fillId="26" borderId="64" xfId="10" applyFont="1" applyFill="1" applyBorder="1" applyAlignment="1">
      <alignment horizontal="right"/>
    </xf>
    <xf numFmtId="0" fontId="22" fillId="26" borderId="64" xfId="10" applyFont="1" applyFill="1" applyBorder="1" applyAlignment="1">
      <alignment vertical="center"/>
    </xf>
    <xf numFmtId="0" fontId="22" fillId="26" borderId="64" xfId="10" applyFont="1" applyFill="1" applyBorder="1" applyAlignment="1">
      <alignment horizontal="center" vertical="center"/>
    </xf>
    <xf numFmtId="0" fontId="17" fillId="26" borderId="64" xfId="10" applyFont="1" applyFill="1" applyBorder="1" applyAlignment="1">
      <alignment horizontal="right" vertical="center"/>
    </xf>
    <xf numFmtId="0" fontId="34" fillId="26" borderId="64" xfId="10" applyFont="1" applyFill="1" applyBorder="1" applyAlignment="1">
      <alignment vertical="center"/>
    </xf>
    <xf numFmtId="0" fontId="29" fillId="26" borderId="64" xfId="10" applyFont="1" applyFill="1" applyBorder="1" applyAlignment="1">
      <alignment vertical="center"/>
    </xf>
    <xf numFmtId="164" fontId="45" fillId="26" borderId="64" xfId="11" applyNumberFormat="1" applyFont="1" applyFill="1" applyBorder="1" applyAlignment="1">
      <alignment horizontal="center" vertical="center"/>
    </xf>
    <xf numFmtId="164" fontId="22" fillId="26" borderId="64" xfId="11" applyNumberFormat="1" applyFont="1" applyFill="1" applyBorder="1" applyAlignment="1">
      <alignment horizontal="center" vertical="center"/>
    </xf>
    <xf numFmtId="3" fontId="34" fillId="26" borderId="64" xfId="10" applyNumberFormat="1" applyFont="1" applyFill="1" applyBorder="1" applyAlignment="1">
      <alignment horizontal="right" vertical="center"/>
    </xf>
    <xf numFmtId="3" fontId="34" fillId="26" borderId="65" xfId="10" applyNumberFormat="1" applyFont="1" applyFill="1" applyBorder="1" applyAlignment="1">
      <alignment horizontal="right" vertical="center"/>
    </xf>
    <xf numFmtId="0" fontId="25" fillId="26" borderId="0" xfId="10" applyFont="1" applyFill="1" applyAlignment="1">
      <alignment horizontal="right"/>
    </xf>
    <xf numFmtId="0" fontId="29" fillId="27" borderId="0" xfId="10" applyFont="1" applyFill="1" applyAlignment="1">
      <alignment vertical="center"/>
    </xf>
    <xf numFmtId="0" fontId="22" fillId="27" borderId="0" xfId="10" applyFont="1" applyFill="1" applyAlignment="1">
      <alignment vertical="center"/>
    </xf>
    <xf numFmtId="0" fontId="22" fillId="27" borderId="0" xfId="10" applyFont="1" applyFill="1" applyAlignment="1">
      <alignment horizontal="center" vertical="center"/>
    </xf>
    <xf numFmtId="0" fontId="17" fillId="27" borderId="0" xfId="10" applyFont="1" applyFill="1" applyAlignment="1">
      <alignment horizontal="right" vertical="center"/>
    </xf>
    <xf numFmtId="164" fontId="45" fillId="27" borderId="0" xfId="11" applyNumberFormat="1" applyFont="1" applyFill="1" applyBorder="1" applyAlignment="1">
      <alignment horizontal="center" vertical="center"/>
    </xf>
    <xf numFmtId="164" fontId="22" fillId="27" borderId="0" xfId="11" applyNumberFormat="1" applyFont="1" applyFill="1" applyBorder="1" applyAlignment="1">
      <alignment horizontal="center" vertical="center"/>
    </xf>
    <xf numFmtId="3" fontId="29" fillId="27" borderId="0" xfId="10" applyNumberFormat="1" applyFont="1" applyFill="1" applyAlignment="1">
      <alignment horizontal="right" vertical="center"/>
    </xf>
    <xf numFmtId="3" fontId="29" fillId="27" borderId="66" xfId="10" applyNumberFormat="1" applyFont="1" applyFill="1" applyBorder="1" applyAlignment="1">
      <alignment horizontal="right" vertical="center"/>
    </xf>
    <xf numFmtId="0" fontId="25" fillId="27" borderId="64" xfId="10" applyFont="1" applyFill="1" applyBorder="1" applyAlignment="1">
      <alignment horizontal="right"/>
    </xf>
    <xf numFmtId="0" fontId="22" fillId="27" borderId="64" xfId="10" applyFont="1" applyFill="1" applyBorder="1" applyAlignment="1">
      <alignment vertical="center"/>
    </xf>
    <xf numFmtId="0" fontId="22" fillId="27" borderId="64" xfId="10" applyFont="1" applyFill="1" applyBorder="1" applyAlignment="1">
      <alignment horizontal="center" vertical="center"/>
    </xf>
    <xf numFmtId="0" fontId="17" fillId="27" borderId="64" xfId="10" applyFont="1" applyFill="1" applyBorder="1" applyAlignment="1">
      <alignment horizontal="right" vertical="center"/>
    </xf>
    <xf numFmtId="0" fontId="34" fillId="27" borderId="64" xfId="10" applyFont="1" applyFill="1" applyBorder="1" applyAlignment="1">
      <alignment vertical="center"/>
    </xf>
    <xf numFmtId="0" fontId="29" fillId="27" borderId="64" xfId="10" applyFont="1" applyFill="1" applyBorder="1" applyAlignment="1">
      <alignment vertical="center"/>
    </xf>
    <xf numFmtId="164" fontId="45" fillId="27" borderId="64" xfId="11" applyNumberFormat="1" applyFont="1" applyFill="1" applyBorder="1" applyAlignment="1">
      <alignment horizontal="center" vertical="center"/>
    </xf>
    <xf numFmtId="164" fontId="22" fillId="27" borderId="64" xfId="11" applyNumberFormat="1" applyFont="1" applyFill="1" applyBorder="1" applyAlignment="1">
      <alignment horizontal="center" vertical="center"/>
    </xf>
    <xf numFmtId="3" fontId="34" fillId="27" borderId="64" xfId="10" applyNumberFormat="1" applyFont="1" applyFill="1" applyBorder="1" applyAlignment="1">
      <alignment horizontal="right" vertical="center"/>
    </xf>
    <xf numFmtId="3" fontId="34" fillId="27" borderId="65" xfId="10" applyNumberFormat="1" applyFont="1" applyFill="1" applyBorder="1" applyAlignment="1">
      <alignment horizontal="right" vertical="center"/>
    </xf>
    <xf numFmtId="0" fontId="25" fillId="27" borderId="0" xfId="10" applyFont="1" applyFill="1" applyAlignment="1">
      <alignment horizontal="right"/>
    </xf>
    <xf numFmtId="3" fontId="29" fillId="27" borderId="67" xfId="10" applyNumberFormat="1" applyFont="1" applyFill="1" applyBorder="1" applyAlignment="1">
      <alignment horizontal="right" vertical="center"/>
    </xf>
    <xf numFmtId="164" fontId="41" fillId="0" borderId="0" xfId="12" applyNumberFormat="1" applyFont="1" applyBorder="1" applyAlignment="1">
      <alignment horizontal="center" vertical="center"/>
    </xf>
    <xf numFmtId="164" fontId="41" fillId="0" borderId="0" xfId="11" applyNumberFormat="1" applyFont="1" applyBorder="1" applyAlignment="1">
      <alignment horizontal="center" vertical="center"/>
    </xf>
    <xf numFmtId="3" fontId="47" fillId="0" borderId="0" xfId="10" applyNumberFormat="1" applyFont="1" applyAlignment="1">
      <alignment horizontal="right" vertical="center"/>
    </xf>
    <xf numFmtId="166" fontId="29" fillId="0" borderId="0" xfId="10" applyNumberFormat="1" applyFont="1" applyAlignment="1">
      <alignment horizontal="right" vertical="center"/>
    </xf>
    <xf numFmtId="43" fontId="25" fillId="0" borderId="0" xfId="10" applyNumberFormat="1" applyFont="1" applyAlignment="1">
      <alignment vertical="center"/>
    </xf>
    <xf numFmtId="0" fontId="32" fillId="18" borderId="32" xfId="10" applyFont="1" applyFill="1" applyBorder="1" applyAlignment="1">
      <alignment horizontal="center" vertical="center" wrapText="1"/>
    </xf>
    <xf numFmtId="0" fontId="48" fillId="0" borderId="25" xfId="13" applyFont="1" applyBorder="1"/>
    <xf numFmtId="0" fontId="22" fillId="0" borderId="25" xfId="10" applyFont="1" applyBorder="1" applyAlignment="1">
      <alignment vertical="center"/>
    </xf>
    <xf numFmtId="0" fontId="22" fillId="0" borderId="25" xfId="10" applyFont="1" applyBorder="1" applyAlignment="1">
      <alignment horizontal="center" vertical="center"/>
    </xf>
    <xf numFmtId="0" fontId="17" fillId="0" borderId="25" xfId="10" applyFont="1" applyBorder="1" applyAlignment="1">
      <alignment horizontal="right" vertical="center"/>
    </xf>
    <xf numFmtId="0" fontId="22" fillId="0" borderId="25" xfId="10" applyFont="1" applyBorder="1" applyAlignment="1">
      <alignment horizontal="right" vertical="center"/>
    </xf>
    <xf numFmtId="164" fontId="45" fillId="0" borderId="25" xfId="11" applyNumberFormat="1" applyFont="1" applyBorder="1" applyAlignment="1">
      <alignment horizontal="center" vertical="center"/>
    </xf>
    <xf numFmtId="164" fontId="22" fillId="0" borderId="25" xfId="11" applyNumberFormat="1" applyFont="1" applyBorder="1" applyAlignment="1">
      <alignment horizontal="center" vertical="center"/>
    </xf>
    <xf numFmtId="164" fontId="41" fillId="0" borderId="25" xfId="12" applyNumberFormat="1" applyFont="1" applyBorder="1" applyAlignment="1">
      <alignment horizontal="center" vertical="center"/>
    </xf>
    <xf numFmtId="164" fontId="41" fillId="0" borderId="25" xfId="11" applyNumberFormat="1" applyFont="1" applyBorder="1" applyAlignment="1">
      <alignment horizontal="center" vertical="center"/>
    </xf>
    <xf numFmtId="3" fontId="29" fillId="0" borderId="25" xfId="10" applyNumberFormat="1" applyFont="1" applyBorder="1" applyAlignment="1">
      <alignment vertical="center"/>
    </xf>
    <xf numFmtId="3" fontId="32" fillId="0" borderId="25" xfId="10" applyNumberFormat="1" applyFont="1" applyBorder="1" applyAlignment="1">
      <alignment horizontal="right" vertical="center"/>
    </xf>
    <xf numFmtId="3" fontId="29" fillId="0" borderId="25" xfId="10" applyNumberFormat="1" applyFont="1" applyBorder="1" applyAlignment="1">
      <alignment horizontal="right" vertical="center"/>
    </xf>
    <xf numFmtId="164" fontId="15" fillId="0" borderId="68" xfId="11" applyNumberFormat="1" applyFont="1" applyFill="1" applyBorder="1" applyAlignment="1">
      <alignment horizontal="center" vertical="center"/>
    </xf>
    <xf numFmtId="0" fontId="22" fillId="0" borderId="53" xfId="10" applyFont="1" applyBorder="1" applyAlignment="1">
      <alignment vertical="center"/>
    </xf>
    <xf numFmtId="0" fontId="22" fillId="0" borderId="52" xfId="10" applyFont="1" applyBorder="1" applyAlignment="1">
      <alignment vertical="center"/>
    </xf>
    <xf numFmtId="14" fontId="17" fillId="0" borderId="52" xfId="10" applyNumberFormat="1" applyFont="1" applyBorder="1" applyAlignment="1">
      <alignment horizontal="right" vertical="center"/>
    </xf>
    <xf numFmtId="164" fontId="45" fillId="0" borderId="53" xfId="11" applyNumberFormat="1" applyFont="1" applyFill="1" applyBorder="1" applyAlignment="1">
      <alignment horizontal="center" vertical="center"/>
    </xf>
    <xf numFmtId="164" fontId="22" fillId="0" borderId="68" xfId="11" applyNumberFormat="1" applyFont="1" applyFill="1" applyBorder="1" applyAlignment="1">
      <alignment horizontal="center" vertical="center"/>
    </xf>
    <xf numFmtId="164" fontId="41" fillId="0" borderId="53" xfId="12" applyNumberFormat="1" applyFont="1" applyBorder="1" applyAlignment="1">
      <alignment horizontal="center" vertical="center"/>
    </xf>
    <xf numFmtId="164" fontId="41" fillId="0" borderId="53" xfId="11" applyNumberFormat="1" applyFont="1" applyBorder="1" applyAlignment="1">
      <alignment horizontal="center" vertical="center"/>
    </xf>
    <xf numFmtId="0" fontId="15" fillId="0" borderId="46" xfId="10" applyFont="1" applyBorder="1" applyAlignment="1">
      <alignment vertical="center"/>
    </xf>
    <xf numFmtId="0" fontId="22" fillId="0" borderId="48" xfId="10" applyFont="1" applyBorder="1" applyAlignment="1">
      <alignment vertical="center"/>
    </xf>
    <xf numFmtId="164" fontId="45" fillId="0" borderId="48" xfId="11" applyNumberFormat="1" applyFont="1" applyBorder="1" applyAlignment="1">
      <alignment horizontal="center" vertical="center"/>
    </xf>
    <xf numFmtId="164" fontId="22" fillId="0" borderId="48" xfId="11" applyNumberFormat="1" applyFont="1" applyBorder="1" applyAlignment="1">
      <alignment horizontal="center" vertical="center"/>
    </xf>
    <xf numFmtId="164" fontId="41" fillId="0" borderId="48" xfId="12" applyNumberFormat="1" applyFont="1" applyBorder="1" applyAlignment="1">
      <alignment horizontal="center" vertical="center"/>
    </xf>
    <xf numFmtId="164" fontId="41" fillId="0" borderId="48" xfId="11" applyNumberFormat="1" applyFont="1" applyBorder="1" applyAlignment="1">
      <alignment horizontal="center" vertical="center"/>
    </xf>
    <xf numFmtId="0" fontId="15" fillId="0" borderId="51" xfId="10" applyFont="1" applyBorder="1" applyAlignment="1">
      <alignment vertical="center"/>
    </xf>
    <xf numFmtId="164" fontId="29" fillId="0" borderId="55" xfId="12" applyNumberFormat="1" applyFont="1" applyBorder="1" applyAlignment="1">
      <alignment horizontal="right" vertical="center"/>
    </xf>
    <xf numFmtId="0" fontId="22" fillId="0" borderId="56" xfId="10" applyFont="1" applyBorder="1" applyAlignment="1">
      <alignment vertical="center"/>
    </xf>
    <xf numFmtId="164" fontId="22" fillId="0" borderId="53" xfId="12" applyNumberFormat="1" applyFont="1" applyBorder="1" applyAlignment="1">
      <alignment horizontal="center" vertical="center"/>
    </xf>
    <xf numFmtId="164" fontId="22" fillId="0" borderId="53" xfId="11" applyNumberFormat="1" applyFont="1" applyBorder="1" applyAlignment="1">
      <alignment horizontal="center" vertical="center"/>
    </xf>
    <xf numFmtId="164" fontId="34" fillId="0" borderId="48" xfId="11" applyNumberFormat="1" applyFont="1" applyBorder="1" applyAlignment="1">
      <alignment horizontal="center" vertical="center"/>
    </xf>
    <xf numFmtId="164" fontId="22" fillId="0" borderId="48" xfId="12" applyNumberFormat="1" applyFont="1" applyBorder="1" applyAlignment="1">
      <alignment horizontal="center" vertical="center"/>
    </xf>
    <xf numFmtId="0" fontId="29" fillId="0" borderId="56" xfId="10" applyFont="1" applyBorder="1" applyAlignment="1">
      <alignment vertical="center"/>
    </xf>
    <xf numFmtId="0" fontId="29" fillId="0" borderId="0" xfId="10" applyFont="1" applyAlignment="1">
      <alignment horizontal="center" vertical="center"/>
    </xf>
    <xf numFmtId="0" fontId="29" fillId="0" borderId="0" xfId="10" applyFont="1" applyAlignment="1">
      <alignment horizontal="right" vertical="center"/>
    </xf>
    <xf numFmtId="164" fontId="31" fillId="0" borderId="0" xfId="11" applyNumberFormat="1" applyFont="1" applyFill="1" applyBorder="1" applyAlignment="1">
      <alignment horizontal="center" vertical="center"/>
    </xf>
    <xf numFmtId="164" fontId="29" fillId="0" borderId="0" xfId="12" applyNumberFormat="1" applyFont="1" applyFill="1" applyBorder="1" applyAlignment="1">
      <alignment horizontal="center" vertical="center"/>
    </xf>
    <xf numFmtId="3" fontId="29" fillId="18" borderId="0" xfId="10" applyNumberFormat="1" applyFont="1" applyFill="1" applyAlignment="1">
      <alignment horizontal="right" vertical="center"/>
    </xf>
    <xf numFmtId="164" fontId="45" fillId="0" borderId="0" xfId="11" applyNumberFormat="1" applyFont="1" applyAlignment="1">
      <alignment vertical="center"/>
    </xf>
    <xf numFmtId="164" fontId="22" fillId="0" borderId="0" xfId="11" applyNumberFormat="1" applyFont="1" applyAlignment="1">
      <alignment vertical="center"/>
    </xf>
    <xf numFmtId="164" fontId="41" fillId="0" borderId="0" xfId="12" applyNumberFormat="1" applyFont="1" applyAlignment="1">
      <alignment vertical="center"/>
    </xf>
    <xf numFmtId="164" fontId="41" fillId="0" borderId="0" xfId="11" applyNumberFormat="1" applyFont="1" applyAlignment="1">
      <alignment vertical="center"/>
    </xf>
    <xf numFmtId="0" fontId="32" fillId="0" borderId="0" xfId="10" applyFont="1" applyAlignment="1">
      <alignment vertical="center"/>
    </xf>
    <xf numFmtId="164" fontId="29" fillId="0" borderId="0" xfId="1" applyNumberFormat="1" applyFont="1" applyAlignment="1">
      <alignment vertical="center"/>
    </xf>
    <xf numFmtId="0" fontId="15" fillId="0" borderId="13" xfId="10" applyFont="1" applyBorder="1" applyAlignment="1">
      <alignment vertical="center"/>
    </xf>
    <xf numFmtId="0" fontId="29" fillId="0" borderId="69" xfId="10" applyFont="1" applyBorder="1" applyAlignment="1">
      <alignment vertical="center"/>
    </xf>
    <xf numFmtId="0" fontId="29" fillId="0" borderId="14" xfId="10" applyFont="1" applyBorder="1" applyAlignment="1">
      <alignment horizontal="center" vertical="center"/>
    </xf>
    <xf numFmtId="0" fontId="30" fillId="0" borderId="69" xfId="10" applyFont="1" applyBorder="1" applyAlignment="1">
      <alignment horizontal="right" vertical="center"/>
    </xf>
    <xf numFmtId="0" fontId="29" fillId="0" borderId="69" xfId="10" applyFont="1" applyBorder="1" applyAlignment="1">
      <alignment horizontal="right" vertical="center"/>
    </xf>
    <xf numFmtId="0" fontId="29" fillId="0" borderId="1" xfId="10" applyFont="1" applyBorder="1" applyAlignment="1">
      <alignment horizontal="center" vertical="center"/>
    </xf>
    <xf numFmtId="164" fontId="49" fillId="0" borderId="14" xfId="11" applyNumberFormat="1" applyFont="1" applyBorder="1" applyAlignment="1">
      <alignment horizontal="center" vertical="center"/>
    </xf>
    <xf numFmtId="164" fontId="29" fillId="0" borderId="14" xfId="11" applyNumberFormat="1" applyFont="1" applyBorder="1" applyAlignment="1">
      <alignment horizontal="center" vertical="center"/>
    </xf>
    <xf numFmtId="164" fontId="39" fillId="0" borderId="14" xfId="12" applyNumberFormat="1" applyFont="1" applyBorder="1" applyAlignment="1">
      <alignment horizontal="center" vertical="center"/>
    </xf>
    <xf numFmtId="164" fontId="39" fillId="0" borderId="14" xfId="11" applyNumberFormat="1" applyFont="1" applyBorder="1" applyAlignment="1">
      <alignment horizontal="center" vertical="center"/>
    </xf>
    <xf numFmtId="3" fontId="29" fillId="0" borderId="2" xfId="10" applyNumberFormat="1" applyFont="1" applyBorder="1" applyAlignment="1">
      <alignment vertical="center"/>
    </xf>
    <xf numFmtId="0" fontId="29" fillId="0" borderId="2" xfId="10" applyFont="1" applyBorder="1" applyAlignment="1">
      <alignment horizontal="center" vertical="center"/>
    </xf>
    <xf numFmtId="3" fontId="32" fillId="18" borderId="2" xfId="10" applyNumberFormat="1" applyFont="1" applyFill="1" applyBorder="1" applyAlignment="1">
      <alignment vertical="center"/>
    </xf>
    <xf numFmtId="3" fontId="29" fillId="18" borderId="2" xfId="10" applyNumberFormat="1" applyFont="1" applyFill="1" applyBorder="1" applyAlignment="1">
      <alignment vertical="center"/>
    </xf>
    <xf numFmtId="0" fontId="25" fillId="0" borderId="61" xfId="10" applyFont="1" applyBorder="1" applyAlignment="1">
      <alignment wrapText="1"/>
    </xf>
    <xf numFmtId="167" fontId="24" fillId="26" borderId="0" xfId="14" applyNumberFormat="1" applyFont="1" applyFill="1"/>
    <xf numFmtId="167" fontId="50" fillId="26" borderId="0" xfId="14" applyNumberFormat="1" applyFont="1" applyFill="1"/>
    <xf numFmtId="167" fontId="25" fillId="26" borderId="0" xfId="14" applyNumberFormat="1" applyFont="1" applyFill="1"/>
    <xf numFmtId="0" fontId="50" fillId="0" borderId="0" xfId="10" applyFont="1"/>
    <xf numFmtId="164" fontId="18" fillId="0" borderId="0" xfId="11" applyNumberFormat="1" applyFont="1" applyFill="1" applyBorder="1"/>
    <xf numFmtId="164" fontId="16" fillId="0" borderId="0" xfId="11" applyNumberFormat="1" applyFont="1" applyFill="1" applyBorder="1"/>
    <xf numFmtId="164" fontId="19" fillId="0" borderId="0" xfId="12" applyNumberFormat="1" applyFont="1" applyFill="1" applyBorder="1"/>
    <xf numFmtId="164" fontId="19" fillId="0" borderId="0" xfId="11" applyNumberFormat="1" applyFont="1" applyFill="1" applyBorder="1"/>
    <xf numFmtId="0" fontId="30" fillId="0" borderId="0" xfId="10" applyFont="1" applyAlignment="1">
      <alignment horizontal="right" vertical="center"/>
    </xf>
    <xf numFmtId="164" fontId="49" fillId="0" borderId="0" xfId="11" applyNumberFormat="1" applyFont="1" applyFill="1" applyBorder="1" applyAlignment="1">
      <alignment horizontal="center" vertical="center"/>
    </xf>
    <xf numFmtId="164" fontId="39" fillId="0" borderId="0" xfId="12" applyNumberFormat="1" applyFont="1" applyFill="1" applyBorder="1" applyAlignment="1">
      <alignment horizontal="center" vertical="center"/>
    </xf>
    <xf numFmtId="164" fontId="39" fillId="0" borderId="0" xfId="11" applyNumberFormat="1" applyFont="1" applyFill="1" applyBorder="1" applyAlignment="1">
      <alignment horizontal="center" vertical="center"/>
    </xf>
    <xf numFmtId="3" fontId="32" fillId="0" borderId="0" xfId="10" applyNumberFormat="1" applyFont="1" applyAlignment="1">
      <alignment vertical="center"/>
    </xf>
    <xf numFmtId="0" fontId="25" fillId="0" borderId="0" xfId="10" applyFont="1" applyAlignment="1">
      <alignment wrapText="1"/>
    </xf>
    <xf numFmtId="0" fontId="30" fillId="0" borderId="0" xfId="10" applyFont="1" applyAlignment="1">
      <alignment horizontal="right"/>
    </xf>
    <xf numFmtId="164" fontId="51" fillId="0" borderId="0" xfId="11" applyNumberFormat="1" applyFont="1" applyFill="1" applyBorder="1"/>
    <xf numFmtId="164" fontId="25" fillId="0" borderId="0" xfId="11" applyNumberFormat="1" applyFont="1" applyFill="1" applyBorder="1"/>
    <xf numFmtId="164" fontId="28" fillId="0" borderId="0" xfId="12" applyNumberFormat="1" applyFont="1" applyFill="1" applyBorder="1"/>
    <xf numFmtId="164" fontId="28" fillId="0" borderId="0" xfId="11" applyNumberFormat="1" applyFont="1" applyFill="1" applyBorder="1"/>
    <xf numFmtId="167" fontId="25" fillId="0" borderId="0" xfId="14" applyNumberFormat="1" applyFont="1" applyFill="1" applyBorder="1"/>
    <xf numFmtId="167" fontId="24" fillId="0" borderId="0" xfId="14" applyNumberFormat="1" applyFont="1" applyFill="1" applyBorder="1"/>
    <xf numFmtId="0" fontId="29" fillId="0" borderId="0" xfId="10" applyFont="1"/>
    <xf numFmtId="3" fontId="19" fillId="0" borderId="0" xfId="10" applyNumberFormat="1" applyFont="1"/>
    <xf numFmtId="43" fontId="16" fillId="0" borderId="0" xfId="10" applyNumberFormat="1" applyFont="1"/>
    <xf numFmtId="43" fontId="16" fillId="0" borderId="0" xfId="1" applyFont="1" applyFill="1" applyBorder="1"/>
    <xf numFmtId="164" fontId="16" fillId="0" borderId="0" xfId="1" applyNumberFormat="1" applyFont="1" applyFill="1" applyBorder="1"/>
    <xf numFmtId="3" fontId="51" fillId="0" borderId="0" xfId="10" applyNumberFormat="1" applyFont="1"/>
    <xf numFmtId="0" fontId="22" fillId="0" borderId="0" xfId="10" applyFont="1" applyAlignment="1">
      <alignment horizontal="right"/>
    </xf>
    <xf numFmtId="3" fontId="22" fillId="0" borderId="0" xfId="10" applyNumberFormat="1" applyFont="1"/>
    <xf numFmtId="164" fontId="18" fillId="0" borderId="0" xfId="11" applyNumberFormat="1" applyFont="1" applyBorder="1"/>
    <xf numFmtId="0" fontId="22" fillId="0" borderId="25" xfId="10" applyFont="1" applyBorder="1"/>
    <xf numFmtId="164" fontId="45" fillId="0" borderId="25" xfId="11" applyNumberFormat="1" applyFont="1" applyBorder="1"/>
    <xf numFmtId="164" fontId="22" fillId="0" borderId="25" xfId="11" applyNumberFormat="1" applyFont="1" applyBorder="1"/>
    <xf numFmtId="164" fontId="41" fillId="0" borderId="25" xfId="12" applyNumberFormat="1" applyFont="1" applyBorder="1"/>
    <xf numFmtId="164" fontId="41" fillId="0" borderId="25" xfId="11" applyNumberFormat="1" applyFont="1" applyBorder="1"/>
    <xf numFmtId="0" fontId="22" fillId="0" borderId="25" xfId="10" applyFont="1" applyBorder="1" applyAlignment="1">
      <alignment horizontal="right"/>
    </xf>
    <xf numFmtId="0" fontId="38" fillId="0" borderId="0" xfId="10" applyFont="1"/>
    <xf numFmtId="0" fontId="29" fillId="0" borderId="48" xfId="10" applyFont="1" applyBorder="1" applyAlignment="1">
      <alignment horizontal="right" wrapText="1"/>
    </xf>
    <xf numFmtId="0" fontId="29" fillId="0" borderId="25" xfId="10" applyFont="1" applyBorder="1" applyAlignment="1">
      <alignment horizontal="right" wrapText="1"/>
    </xf>
    <xf numFmtId="164" fontId="22" fillId="0" borderId="0" xfId="11" applyNumberFormat="1" applyFont="1" applyFill="1" applyBorder="1"/>
    <xf numFmtId="164" fontId="45" fillId="0" borderId="0" xfId="11" applyNumberFormat="1" applyFont="1" applyFill="1" applyBorder="1"/>
    <xf numFmtId="3" fontId="25" fillId="0" borderId="0" xfId="10" applyNumberFormat="1" applyFont="1" applyAlignment="1">
      <alignment horizontal="right"/>
    </xf>
    <xf numFmtId="3" fontId="29" fillId="0" borderId="0" xfId="10" applyNumberFormat="1" applyFont="1"/>
    <xf numFmtId="3" fontId="29" fillId="0" borderId="53" xfId="10" applyNumberFormat="1" applyFont="1" applyBorder="1"/>
    <xf numFmtId="0" fontId="52" fillId="0" borderId="0" xfId="10" applyFont="1" applyAlignment="1">
      <alignment vertical="center"/>
    </xf>
    <xf numFmtId="0" fontId="16" fillId="0" borderId="0" xfId="10" applyFont="1" applyAlignment="1">
      <alignment horizontal="left"/>
    </xf>
    <xf numFmtId="164" fontId="22" fillId="0" borderId="25" xfId="11" applyNumberFormat="1" applyFont="1" applyFill="1" applyBorder="1"/>
    <xf numFmtId="164" fontId="45" fillId="0" borderId="25" xfId="11" applyNumberFormat="1" applyFont="1" applyFill="1" applyBorder="1"/>
    <xf numFmtId="0" fontId="16" fillId="0" borderId="25" xfId="10" applyFont="1" applyBorder="1"/>
    <xf numFmtId="164" fontId="19" fillId="0" borderId="25" xfId="12" applyNumberFormat="1" applyFont="1" applyFill="1" applyBorder="1"/>
    <xf numFmtId="164" fontId="19" fillId="0" borderId="25" xfId="11" applyNumberFormat="1" applyFont="1" applyFill="1" applyBorder="1"/>
    <xf numFmtId="0" fontId="25" fillId="0" borderId="25" xfId="10" applyFont="1" applyBorder="1" applyAlignment="1">
      <alignment horizontal="right"/>
    </xf>
    <xf numFmtId="3" fontId="29" fillId="0" borderId="48" xfId="10" applyNumberFormat="1" applyFont="1" applyBorder="1"/>
    <xf numFmtId="164" fontId="16" fillId="0" borderId="0" xfId="11" applyNumberFormat="1" applyFont="1" applyFill="1" applyBorder="1" applyAlignment="1">
      <alignment horizontal="left"/>
    </xf>
    <xf numFmtId="3" fontId="32" fillId="0" borderId="0" xfId="10" applyNumberFormat="1" applyFont="1"/>
    <xf numFmtId="164" fontId="16" fillId="0" borderId="0" xfId="11" applyNumberFormat="1" applyFont="1" applyAlignment="1">
      <alignment horizontal="left"/>
    </xf>
    <xf numFmtId="0" fontId="53" fillId="0" borderId="0" xfId="13" applyFont="1"/>
    <xf numFmtId="49" fontId="30" fillId="0" borderId="0" xfId="16" applyNumberFormat="1" applyFont="1" applyAlignment="1">
      <alignment wrapText="1"/>
    </xf>
    <xf numFmtId="3" fontId="17" fillId="0" borderId="0" xfId="16" applyNumberFormat="1" applyFont="1"/>
    <xf numFmtId="0" fontId="17" fillId="0" borderId="0" xfId="16" applyFont="1"/>
    <xf numFmtId="3" fontId="54" fillId="0" borderId="0" xfId="16" applyNumberFormat="1" applyFont="1"/>
    <xf numFmtId="0" fontId="55" fillId="0" borderId="0" xfId="16" applyFont="1"/>
    <xf numFmtId="0" fontId="56" fillId="0" borderId="0" xfId="13" applyFont="1"/>
    <xf numFmtId="0" fontId="57" fillId="0" borderId="0" xfId="16" applyFont="1"/>
    <xf numFmtId="0" fontId="58" fillId="0" borderId="0" xfId="16" applyFont="1"/>
    <xf numFmtId="0" fontId="59" fillId="0" borderId="0" xfId="16" applyFont="1"/>
    <xf numFmtId="3" fontId="60" fillId="0" borderId="0" xfId="16" applyNumberFormat="1" applyFont="1"/>
    <xf numFmtId="3" fontId="58" fillId="0" borderId="0" xfId="16" applyNumberFormat="1" applyFont="1"/>
    <xf numFmtId="0" fontId="22" fillId="0" borderId="0" xfId="16" applyFont="1"/>
    <xf numFmtId="0" fontId="61" fillId="0" borderId="0" xfId="10" applyFont="1"/>
    <xf numFmtId="0" fontId="62" fillId="0" borderId="0" xfId="10" applyFont="1"/>
    <xf numFmtId="0" fontId="54" fillId="0" borderId="0" xfId="10" applyFont="1" applyAlignment="1">
      <alignment horizontal="right"/>
    </xf>
    <xf numFmtId="0" fontId="62" fillId="0" borderId="0" xfId="10" applyFont="1" applyAlignment="1">
      <alignment horizontal="right"/>
    </xf>
    <xf numFmtId="164" fontId="62" fillId="0" borderId="0" xfId="11" applyNumberFormat="1" applyFont="1"/>
    <xf numFmtId="0" fontId="63" fillId="0" borderId="0" xfId="10" applyFont="1"/>
    <xf numFmtId="0" fontId="64" fillId="0" borderId="0" xfId="10" applyFont="1"/>
    <xf numFmtId="164" fontId="24" fillId="0" borderId="0" xfId="1" applyNumberFormat="1" applyFont="1"/>
    <xf numFmtId="164" fontId="25" fillId="0" borderId="0" xfId="1" applyNumberFormat="1" applyFont="1"/>
    <xf numFmtId="0" fontId="65" fillId="0" borderId="0" xfId="3" applyFont="1"/>
    <xf numFmtId="0" fontId="67" fillId="0" borderId="0" xfId="6" applyFont="1"/>
    <xf numFmtId="0" fontId="21" fillId="0" borderId="0" xfId="2" applyFont="1"/>
    <xf numFmtId="0" fontId="3" fillId="10" borderId="0" xfId="2" applyFont="1" applyFill="1"/>
    <xf numFmtId="0" fontId="3" fillId="10" borderId="8" xfId="2" applyFont="1" applyFill="1" applyBorder="1" applyAlignment="1">
      <alignment horizontal="left" indent="2"/>
    </xf>
    <xf numFmtId="0" fontId="3" fillId="0" borderId="8" xfId="2" applyFont="1" applyBorder="1" applyAlignment="1">
      <alignment horizontal="left" indent="2"/>
    </xf>
    <xf numFmtId="0" fontId="3" fillId="14" borderId="8" xfId="2" applyFont="1" applyFill="1" applyBorder="1" applyAlignment="1">
      <alignment horizontal="left" indent="2"/>
    </xf>
    <xf numFmtId="0" fontId="65" fillId="0" borderId="0" xfId="3" applyFont="1"/>
    <xf numFmtId="0" fontId="66" fillId="0" borderId="0" xfId="3" applyFont="1"/>
    <xf numFmtId="0" fontId="21" fillId="0" borderId="0" xfId="2" applyFont="1"/>
    <xf numFmtId="0" fontId="29" fillId="0" borderId="38" xfId="10" applyFont="1" applyBorder="1" applyAlignment="1">
      <alignment horizontal="center" vertical="center" wrapText="1"/>
    </xf>
    <xf numFmtId="0" fontId="29" fillId="0" borderId="14" xfId="10" applyFont="1" applyBorder="1" applyAlignment="1">
      <alignment horizontal="center" vertical="center" wrapText="1"/>
    </xf>
    <xf numFmtId="0" fontId="22" fillId="0" borderId="40" xfId="7" applyFont="1" applyBorder="1" applyAlignment="1">
      <alignment horizontal="left" vertical="center" wrapText="1"/>
    </xf>
    <xf numFmtId="0" fontId="22" fillId="0" borderId="47" xfId="7" applyFont="1" applyBorder="1" applyAlignment="1">
      <alignment horizontal="left" vertical="center" wrapText="1"/>
    </xf>
    <xf numFmtId="0" fontId="22" fillId="0" borderId="52" xfId="7" applyFont="1" applyBorder="1" applyAlignment="1">
      <alignment horizontal="center" vertical="center" wrapText="1"/>
    </xf>
    <xf numFmtId="0" fontId="22" fillId="0" borderId="47" xfId="7" applyFont="1" applyBorder="1" applyAlignment="1">
      <alignment horizontal="center" vertical="center" wrapText="1"/>
    </xf>
    <xf numFmtId="0" fontId="22" fillId="0" borderId="40" xfId="15" applyFont="1" applyBorder="1" applyAlignment="1">
      <alignment horizontal="center" vertical="center" wrapText="1"/>
    </xf>
    <xf numFmtId="0" fontId="22" fillId="0" borderId="47" xfId="15" applyFont="1" applyBorder="1" applyAlignment="1">
      <alignment horizontal="center" vertical="center" wrapText="1"/>
    </xf>
    <xf numFmtId="164" fontId="29" fillId="0" borderId="40" xfId="1" applyNumberFormat="1" applyFont="1" applyFill="1" applyBorder="1" applyAlignment="1">
      <alignment horizontal="center" vertical="center" wrapText="1"/>
    </xf>
    <xf numFmtId="164" fontId="29" fillId="0" borderId="47" xfId="1" applyNumberFormat="1" applyFont="1" applyFill="1" applyBorder="1" applyAlignment="1">
      <alignment horizontal="center" vertical="center" wrapText="1"/>
    </xf>
    <xf numFmtId="14" fontId="22" fillId="0" borderId="40" xfId="15" applyNumberFormat="1" applyFont="1" applyBorder="1" applyAlignment="1">
      <alignment horizontal="center" vertical="center" wrapText="1"/>
    </xf>
    <xf numFmtId="14" fontId="22" fillId="0" borderId="47" xfId="15" applyNumberFormat="1" applyFont="1" applyBorder="1" applyAlignment="1">
      <alignment horizontal="center" vertical="center" wrapText="1"/>
    </xf>
    <xf numFmtId="0" fontId="8" fillId="0" borderId="47" xfId="15" applyBorder="1" applyAlignment="1">
      <alignment horizontal="center" vertical="center" wrapText="1"/>
    </xf>
    <xf numFmtId="0" fontId="22" fillId="0" borderId="40" xfId="7" applyFont="1" applyBorder="1" applyAlignment="1">
      <alignment horizontal="center" vertical="center" wrapText="1"/>
    </xf>
    <xf numFmtId="164" fontId="29" fillId="0" borderId="40" xfId="1" applyNumberFormat="1" applyFont="1" applyBorder="1" applyAlignment="1">
      <alignment horizontal="center" vertical="center" wrapText="1"/>
    </xf>
    <xf numFmtId="164" fontId="29" fillId="0" borderId="47" xfId="1" applyNumberFormat="1" applyFont="1" applyBorder="1" applyAlignment="1">
      <alignment horizontal="center" vertical="center" wrapText="1"/>
    </xf>
    <xf numFmtId="0" fontId="22" fillId="0" borderId="58" xfId="7" applyFont="1" applyBorder="1" applyAlignment="1">
      <alignment horizontal="left" vertical="center" wrapText="1"/>
    </xf>
    <xf numFmtId="0" fontId="22" fillId="0" borderId="27" xfId="7" applyFont="1" applyBorder="1" applyAlignment="1">
      <alignment horizontal="left" vertical="center" wrapText="1"/>
    </xf>
    <xf numFmtId="0" fontId="22" fillId="0" borderId="43" xfId="7" applyFont="1" applyBorder="1" applyAlignment="1">
      <alignment horizontal="center" vertical="center" wrapText="1"/>
    </xf>
    <xf numFmtId="0" fontId="22" fillId="0" borderId="50" xfId="7" applyFont="1" applyBorder="1" applyAlignment="1">
      <alignment horizontal="center" vertical="center" wrapText="1"/>
    </xf>
    <xf numFmtId="0" fontId="22" fillId="0" borderId="40" xfId="15" applyFont="1" applyBorder="1" applyAlignment="1">
      <alignment horizontal="left" vertical="center" wrapText="1"/>
    </xf>
    <xf numFmtId="0" fontId="22" fillId="0" borderId="47" xfId="15" applyFont="1" applyBorder="1" applyAlignment="1">
      <alignment horizontal="left" vertical="center" wrapText="1"/>
    </xf>
    <xf numFmtId="14" fontId="22" fillId="0" borderId="29" xfId="15" applyNumberFormat="1" applyFont="1" applyBorder="1" applyAlignment="1">
      <alignment horizontal="center" vertical="center" wrapText="1"/>
    </xf>
    <xf numFmtId="0" fontId="3" fillId="0" borderId="16" xfId="15" applyFont="1" applyBorder="1" applyAlignment="1">
      <alignment horizontal="center" vertical="center" wrapText="1"/>
    </xf>
    <xf numFmtId="164" fontId="42" fillId="0" borderId="47" xfId="1" applyNumberFormat="1" applyFont="1" applyBorder="1" applyAlignment="1">
      <alignment horizontal="center" vertical="center" wrapText="1"/>
    </xf>
    <xf numFmtId="0" fontId="9" fillId="0" borderId="47" xfId="15" applyFont="1" applyBorder="1" applyAlignment="1">
      <alignment horizontal="left" vertical="center" wrapText="1"/>
    </xf>
    <xf numFmtId="0" fontId="22" fillId="0" borderId="52" xfId="15" applyFont="1" applyBorder="1" applyAlignment="1">
      <alignment horizontal="center" vertical="center" wrapText="1"/>
    </xf>
    <xf numFmtId="0" fontId="9" fillId="0" borderId="47" xfId="15" applyFont="1" applyBorder="1" applyAlignment="1">
      <alignment horizontal="center" vertical="center" wrapText="1"/>
    </xf>
    <xf numFmtId="0" fontId="22" fillId="0" borderId="16" xfId="15" applyFont="1" applyBorder="1" applyAlignment="1">
      <alignment horizontal="center" vertical="center" wrapText="1"/>
    </xf>
    <xf numFmtId="0" fontId="9" fillId="0" borderId="47" xfId="7" applyFont="1" applyBorder="1" applyAlignment="1">
      <alignment horizontal="left" vertical="center" wrapText="1"/>
    </xf>
    <xf numFmtId="0" fontId="9" fillId="0" borderId="47" xfId="7" applyFont="1" applyBorder="1" applyAlignment="1">
      <alignment horizontal="center" vertical="center" wrapText="1"/>
    </xf>
    <xf numFmtId="164" fontId="15" fillId="0" borderId="47" xfId="1" applyNumberFormat="1" applyFont="1" applyBorder="1" applyAlignment="1">
      <alignment horizontal="center" vertical="center" wrapText="1"/>
    </xf>
    <xf numFmtId="0" fontId="22" fillId="0" borderId="57" xfId="15" applyFont="1" applyBorder="1" applyAlignment="1">
      <alignment horizontal="center" vertical="center" wrapText="1"/>
    </xf>
    <xf numFmtId="14" fontId="22" fillId="0" borderId="5" xfId="15" applyNumberFormat="1" applyFont="1" applyBorder="1" applyAlignment="1">
      <alignment horizontal="center" vertical="center" wrapText="1"/>
    </xf>
    <xf numFmtId="0" fontId="22" fillId="0" borderId="52" xfId="15" applyFont="1" applyBorder="1" applyAlignment="1">
      <alignment horizontal="left" vertical="center" wrapText="1"/>
    </xf>
    <xf numFmtId="0" fontId="3" fillId="0" borderId="47" xfId="15" applyFont="1" applyBorder="1" applyAlignment="1">
      <alignment horizontal="left" vertical="center" wrapText="1"/>
    </xf>
    <xf numFmtId="0" fontId="8" fillId="0" borderId="47" xfId="15" applyBorder="1" applyAlignment="1">
      <alignment horizontal="left" vertical="center" wrapText="1"/>
    </xf>
    <xf numFmtId="14" fontId="22" fillId="0" borderId="57" xfId="15" applyNumberFormat="1" applyFont="1" applyBorder="1" applyAlignment="1">
      <alignment horizontal="center" vertical="center" wrapText="1"/>
    </xf>
  </cellXfs>
  <cellStyles count="17">
    <cellStyle name="Comma" xfId="1" builtinId="3"/>
    <cellStyle name="Comma 3 3" xfId="12" xr:uid="{55B31DF6-518F-47C7-A6D1-5F7C14445CAD}"/>
    <cellStyle name="Comma 4 2" xfId="11" xr:uid="{4C15D643-9192-482B-8882-5C996B255217}"/>
    <cellStyle name="Hyperlink" xfId="6" builtinId="8"/>
    <cellStyle name="Komats 10" xfId="5" xr:uid="{100D629B-65D5-4297-9309-1A2685E9CB0C}"/>
    <cellStyle name="Normal" xfId="0" builtinId="0"/>
    <cellStyle name="Normal 2 2" xfId="7" xr:uid="{02F75176-05B0-4979-B7B6-E1BB8AD3E6F7}"/>
    <cellStyle name="Normal 2 2 2 2" xfId="16" xr:uid="{35F6EF3B-1D44-4D7B-ADB1-FF7CCADD1A79}"/>
    <cellStyle name="Normal 4" xfId="10" xr:uid="{5BCF9CA4-52B8-4AD8-8024-53EA3698FCB2}"/>
    <cellStyle name="Parasts 2" xfId="15" xr:uid="{B66683AB-FDDC-40C5-8FE7-59987200DFA2}"/>
    <cellStyle name="Parasts 2 2 2 2" xfId="13" xr:uid="{A1CFEB0E-8981-49E4-AD73-E0B9D5779115}"/>
    <cellStyle name="Parasts 2 2 5" xfId="2" xr:uid="{2AF792D0-2296-47FA-96E2-F4F3F8949F5B}"/>
    <cellStyle name="Parasts 2 2 5 2" xfId="3" xr:uid="{A9B4F625-6786-4156-8FED-22545DA72866}"/>
    <cellStyle name="Percent" xfId="9" builtinId="5"/>
    <cellStyle name="Percent 3 2" xfId="14" xr:uid="{CF822D26-28F9-490C-9D0C-F7796577C916}"/>
    <cellStyle name="Percent 4" xfId="8" xr:uid="{44D6315A-541E-4403-A27A-9B733A52D462}"/>
    <cellStyle name="Procenti 2 3" xfId="4" xr:uid="{577F20B4-A243-4E36-AA9B-001248FBAE2C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armite\Desktop\2010\2014\22.12.2014\Budzeta_projekts%202014_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RNIS\formas\dok_registrs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NIS\formas\dok_registrs201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mite.Muze\Nextcloud\Finansu%20nodala%20kopmape\03_2023\1_Budzets_2023_actual_03_2023.xlsx" TargetMode="External"/><Relationship Id="rId1" Type="http://schemas.openxmlformats.org/officeDocument/2006/relationships/externalLinkPath" Target="/Users/Sarmite.Muze/Nextcloud/Finansu%20nodala%20kopmape/03_2023/1_Budzets_2023_actual_03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pielikums_Saist_apm_EUR_fakts"/>
      <sheetName val="4.pielikums_Saist_apmērs_ap EUR"/>
      <sheetName val="EKK_saturs"/>
      <sheetName val="2014.gada budzeta plans"/>
      <sheetName val="Groz_NIN_12_2014"/>
      <sheetName val="Grafiki"/>
      <sheetName val="KA_31122013"/>
      <sheetName val="Vertetie_ienemumi_2014"/>
      <sheetName val="Saturs2014"/>
      <sheetName val="Investicijas_aktivitates"/>
      <sheetName val="Kopsavilkums"/>
      <sheetName val="Rolling"/>
      <sheetName val="Gaujas_svetki"/>
      <sheetName val="Parvalde"/>
      <sheetName val="Celi"/>
      <sheetName val="LegGold2013"/>
      <sheetName val="Alga_01_2014"/>
      <sheetName val="2014_85%"/>
      <sheetName val="Deputāti"/>
      <sheetName val="Iepirk_komisija"/>
      <sheetName val="Adm_komisija"/>
      <sheetName val="Nepilngad_lietu_komisija"/>
      <sheetName val="Avizes izmaksas"/>
      <sheetName val="Projekti_2014"/>
      <sheetName val="PrivatasII"/>
      <sheetName val="KA_31122012"/>
      <sheetName val="Edinasana"/>
      <sheetName val="Sheet2"/>
      <sheetName val="Spec_budz"/>
      <sheetName val="Neielikts_2013"/>
      <sheetName val="Sports2013"/>
      <sheetName val="Lapa1 (2)"/>
    </sheetNames>
    <sheetDataSet>
      <sheetData sheetId="0"/>
      <sheetData sheetId="1"/>
      <sheetData sheetId="2"/>
      <sheetData sheetId="3">
        <row r="44">
          <cell r="Q44">
            <v>240644.61784508912</v>
          </cell>
        </row>
      </sheetData>
      <sheetData sheetId="4">
        <row r="32">
          <cell r="F32">
            <v>905997</v>
          </cell>
        </row>
      </sheetData>
      <sheetData sheetId="5"/>
      <sheetData sheetId="6"/>
      <sheetData sheetId="7">
        <row r="36">
          <cell r="C36">
            <v>5078304.9348664423</v>
          </cell>
        </row>
      </sheetData>
      <sheetData sheetId="8">
        <row r="14">
          <cell r="Q14">
            <v>430025</v>
          </cell>
        </row>
      </sheetData>
      <sheetData sheetId="9"/>
      <sheetData sheetId="10">
        <row r="2130">
          <cell r="I2130">
            <v>90500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>
            <v>0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>
            <v>0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>
            <v>0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 t="str">
            <v xml:space="preserve"> 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zvērināta advokāte 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 t="str">
            <v xml:space="preserve"> 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 t="str">
            <v xml:space="preserve">   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ibai"/>
      <sheetName val="Jautajumi"/>
      <sheetName val="Budžeta faila apraksts"/>
      <sheetName val="check"/>
      <sheetName val="Grafiki_2023"/>
      <sheetName val="Skaidrojumi"/>
      <sheetName val="Kopsavilkums"/>
      <sheetName val="PIVOT_2023"/>
      <sheetName val="Investīcijas_2023"/>
      <sheetName val="Pivot_invest_2023"/>
      <sheetName val="2023.gada budzeta plans_apvieno"/>
      <sheetName val="Grafiki"/>
      <sheetName val="INPUT"/>
      <sheetName val="Filtri"/>
      <sheetName val="31122022_final"/>
      <sheetName val="Pivot_Saraksts"/>
      <sheetName val="0841"/>
      <sheetName val="0841.1_Gaujas svetki"/>
      <sheetName val="0841.4_Dziesmu svētki"/>
      <sheetName val="0812_Sport"/>
      <sheetName val="0812 _Trenažieri"/>
      <sheetName val="0630_dekori"/>
      <sheetName val="Priekšlikumi ārtelpas projekt"/>
      <sheetName val="EKK"/>
      <sheetName val="Ieņēmumi"/>
      <sheetName val="KA_31122022"/>
      <sheetName val="Algas_2023"/>
      <sheetName val="4.piel_Saistibas"/>
      <sheetName val="Saistibas_VK_prognoze"/>
      <sheetName val="5.piel.EKK"/>
      <sheetName val="2022_2027"/>
      <sheetName val="Deputāti"/>
      <sheetName val="Velesanu_komis_loc"/>
      <sheetName val="Adm_komisija"/>
      <sheetName val="Iepirk_komisija"/>
      <sheetName val="Komisijas"/>
      <sheetName val="1_Budzets_2023_actual_03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H4">
            <v>28441559</v>
          </cell>
        </row>
        <row r="5">
          <cell r="H5">
            <v>0</v>
          </cell>
        </row>
        <row r="7">
          <cell r="H7">
            <v>1807872</v>
          </cell>
        </row>
        <row r="8">
          <cell r="H8">
            <v>190423</v>
          </cell>
        </row>
        <row r="10">
          <cell r="H10">
            <v>326353</v>
          </cell>
        </row>
        <row r="11">
          <cell r="H11">
            <v>86119</v>
          </cell>
        </row>
        <row r="13">
          <cell r="H13">
            <v>431787</v>
          </cell>
        </row>
        <row r="14">
          <cell r="H14">
            <v>60758</v>
          </cell>
        </row>
        <row r="16">
          <cell r="H16">
            <v>160000</v>
          </cell>
        </row>
        <row r="18">
          <cell r="H18">
            <v>6453</v>
          </cell>
        </row>
        <row r="19">
          <cell r="H19">
            <v>433856</v>
          </cell>
        </row>
        <row r="25">
          <cell r="H25">
            <v>295000</v>
          </cell>
        </row>
        <row r="29">
          <cell r="H29">
            <v>24000</v>
          </cell>
        </row>
        <row r="30">
          <cell r="H30">
            <v>125000</v>
          </cell>
        </row>
        <row r="35">
          <cell r="H35">
            <v>120000</v>
          </cell>
        </row>
        <row r="36">
          <cell r="H36">
            <v>36000</v>
          </cell>
        </row>
        <row r="37">
          <cell r="H37">
            <v>1000</v>
          </cell>
        </row>
        <row r="39">
          <cell r="H39">
            <v>110000</v>
          </cell>
        </row>
        <row r="40">
          <cell r="H40">
            <v>2500</v>
          </cell>
        </row>
        <row r="41">
          <cell r="H41">
            <v>3713551</v>
          </cell>
        </row>
        <row r="42">
          <cell r="H42">
            <v>102000</v>
          </cell>
        </row>
        <row r="64">
          <cell r="H64">
            <v>1904695.882342119</v>
          </cell>
        </row>
        <row r="69">
          <cell r="H69">
            <v>355818.96720568801</v>
          </cell>
        </row>
        <row r="70">
          <cell r="H70">
            <v>58895.469599999997</v>
          </cell>
        </row>
        <row r="75">
          <cell r="H75">
            <v>50294.195200000002</v>
          </cell>
        </row>
        <row r="76">
          <cell r="H76">
            <v>6587.5</v>
          </cell>
        </row>
        <row r="77">
          <cell r="H77">
            <v>71620.138310000009</v>
          </cell>
        </row>
        <row r="80">
          <cell r="H80">
            <v>1047339.1639484835</v>
          </cell>
        </row>
        <row r="81">
          <cell r="H81">
            <v>4392666</v>
          </cell>
        </row>
        <row r="82">
          <cell r="H82">
            <v>349580.46043500002</v>
          </cell>
        </row>
        <row r="87">
          <cell r="H87">
            <v>926669.29245700024</v>
          </cell>
        </row>
        <row r="92">
          <cell r="H92">
            <v>207617.29264600005</v>
          </cell>
        </row>
        <row r="95">
          <cell r="H95">
            <v>45166.33</v>
          </cell>
        </row>
        <row r="105">
          <cell r="H105">
            <v>70000</v>
          </cell>
        </row>
        <row r="106">
          <cell r="H106">
            <v>313523.70461999997</v>
          </cell>
        </row>
        <row r="111">
          <cell r="H111">
            <v>402654.04988000001</v>
          </cell>
        </row>
        <row r="119">
          <cell r="H119">
            <v>267571.12844500004</v>
          </cell>
        </row>
        <row r="124">
          <cell r="H124">
            <v>160572.14087500004</v>
          </cell>
        </row>
        <row r="129">
          <cell r="H129">
            <v>177204.66029999999</v>
          </cell>
        </row>
        <row r="132">
          <cell r="H132">
            <v>4346663.8361329995</v>
          </cell>
        </row>
        <row r="137">
          <cell r="H137">
            <v>3779449</v>
          </cell>
        </row>
        <row r="143">
          <cell r="H143">
            <v>295000</v>
          </cell>
        </row>
        <row r="154">
          <cell r="H154">
            <v>420416.49502000003</v>
          </cell>
        </row>
        <row r="162">
          <cell r="H162">
            <v>269874.66324999998</v>
          </cell>
        </row>
        <row r="169">
          <cell r="H169">
            <v>121138.2865</v>
          </cell>
        </row>
        <row r="174">
          <cell r="H174">
            <v>62655.829250000003</v>
          </cell>
        </row>
        <row r="179">
          <cell r="H179">
            <v>579436.75136999995</v>
          </cell>
        </row>
        <row r="188">
          <cell r="H188">
            <v>185866.50440000001</v>
          </cell>
        </row>
        <row r="202">
          <cell r="H202">
            <v>1744009.2481999998</v>
          </cell>
        </row>
        <row r="205">
          <cell r="H205">
            <v>1170990</v>
          </cell>
        </row>
        <row r="210">
          <cell r="H210">
            <v>327695.39069250005</v>
          </cell>
        </row>
        <row r="216">
          <cell r="H216">
            <v>350812.36</v>
          </cell>
        </row>
        <row r="223">
          <cell r="H223">
            <v>5800</v>
          </cell>
        </row>
        <row r="227">
          <cell r="H227">
            <v>1407</v>
          </cell>
        </row>
        <row r="230">
          <cell r="H230">
            <v>132505.09117999999</v>
          </cell>
        </row>
        <row r="241">
          <cell r="H241">
            <v>1009440</v>
          </cell>
        </row>
        <row r="242">
          <cell r="H242">
            <v>1597136.3519472245</v>
          </cell>
        </row>
        <row r="249">
          <cell r="H249">
            <v>19228.173900000002</v>
          </cell>
        </row>
        <row r="253">
          <cell r="H253">
            <v>1123630.6494368</v>
          </cell>
        </row>
        <row r="259">
          <cell r="H259">
            <v>1127885.3067867202</v>
          </cell>
        </row>
        <row r="262">
          <cell r="H262">
            <v>160349</v>
          </cell>
        </row>
        <row r="266">
          <cell r="H266">
            <v>1147015.2936508402</v>
          </cell>
        </row>
        <row r="269">
          <cell r="H269">
            <v>158747</v>
          </cell>
        </row>
        <row r="273">
          <cell r="H273">
            <v>311541.28034260002</v>
          </cell>
        </row>
        <row r="280">
          <cell r="H280">
            <v>543319</v>
          </cell>
        </row>
        <row r="283">
          <cell r="H283">
            <v>135000</v>
          </cell>
        </row>
        <row r="284">
          <cell r="H284">
            <v>1377792</v>
          </cell>
        </row>
        <row r="286">
          <cell r="H286">
            <v>835367.24456400005</v>
          </cell>
        </row>
        <row r="293">
          <cell r="H293">
            <v>923235.59305699996</v>
          </cell>
        </row>
        <row r="296">
          <cell r="H296">
            <v>241081</v>
          </cell>
        </row>
        <row r="304">
          <cell r="H304">
            <v>1356697.7494320502</v>
          </cell>
        </row>
        <row r="313">
          <cell r="H313">
            <v>889452.98177700012</v>
          </cell>
        </row>
        <row r="320">
          <cell r="H320">
            <v>343948.80554049998</v>
          </cell>
        </row>
        <row r="326">
          <cell r="H326">
            <v>225484.5193245</v>
          </cell>
        </row>
      </sheetData>
      <sheetData sheetId="8">
        <row r="52">
          <cell r="L52">
            <v>59922</v>
          </cell>
        </row>
        <row r="53">
          <cell r="L53">
            <v>207089</v>
          </cell>
        </row>
        <row r="54">
          <cell r="L54">
            <v>320141.35220000002</v>
          </cell>
        </row>
        <row r="57">
          <cell r="L57">
            <v>624704.49</v>
          </cell>
        </row>
        <row r="62">
          <cell r="L62">
            <v>37334.9</v>
          </cell>
        </row>
        <row r="66">
          <cell r="L66">
            <v>582946</v>
          </cell>
        </row>
        <row r="68">
          <cell r="L68">
            <v>390000</v>
          </cell>
        </row>
        <row r="235">
          <cell r="L235">
            <v>645000</v>
          </cell>
        </row>
      </sheetData>
      <sheetData sheetId="9">
        <row r="4">
          <cell r="E4">
            <v>11000</v>
          </cell>
        </row>
        <row r="5">
          <cell r="E5">
            <v>4136</v>
          </cell>
        </row>
        <row r="6">
          <cell r="E6">
            <v>53240</v>
          </cell>
        </row>
        <row r="7">
          <cell r="E7">
            <v>42000</v>
          </cell>
        </row>
        <row r="8">
          <cell r="E8">
            <v>85290</v>
          </cell>
        </row>
        <row r="9">
          <cell r="E9">
            <v>236171</v>
          </cell>
        </row>
        <row r="10">
          <cell r="E10">
            <v>391245.35220000002</v>
          </cell>
        </row>
        <row r="11">
          <cell r="E11">
            <v>40898</v>
          </cell>
        </row>
        <row r="12">
          <cell r="E12">
            <v>15000</v>
          </cell>
        </row>
        <row r="13">
          <cell r="E13">
            <v>891139</v>
          </cell>
        </row>
        <row r="14">
          <cell r="E14">
            <v>2500</v>
          </cell>
        </row>
        <row r="15">
          <cell r="E15">
            <v>212422.11000000002</v>
          </cell>
        </row>
        <row r="16">
          <cell r="E16">
            <v>15704.03</v>
          </cell>
        </row>
        <row r="17">
          <cell r="E17">
            <v>16292</v>
          </cell>
        </row>
        <row r="18">
          <cell r="E18">
            <v>1049</v>
          </cell>
        </row>
        <row r="19">
          <cell r="E19">
            <v>7000</v>
          </cell>
        </row>
        <row r="20">
          <cell r="E20">
            <v>390000</v>
          </cell>
        </row>
        <row r="21">
          <cell r="E21">
            <v>16158</v>
          </cell>
        </row>
        <row r="22">
          <cell r="E22">
            <v>70943</v>
          </cell>
        </row>
        <row r="23">
          <cell r="E23">
            <v>250373</v>
          </cell>
        </row>
        <row r="24">
          <cell r="E24">
            <v>6454</v>
          </cell>
        </row>
        <row r="25">
          <cell r="E25">
            <v>35300</v>
          </cell>
        </row>
        <row r="26">
          <cell r="E26">
            <v>46613</v>
          </cell>
        </row>
        <row r="27">
          <cell r="E27">
            <v>23597</v>
          </cell>
        </row>
        <row r="28">
          <cell r="E28">
            <v>18440</v>
          </cell>
        </row>
        <row r="29">
          <cell r="E29">
            <v>161090</v>
          </cell>
        </row>
        <row r="30">
          <cell r="E30">
            <v>330670</v>
          </cell>
        </row>
        <row r="32">
          <cell r="E32">
            <v>32020</v>
          </cell>
        </row>
        <row r="33">
          <cell r="E33">
            <v>355701</v>
          </cell>
        </row>
        <row r="34">
          <cell r="E34">
            <v>836633.39</v>
          </cell>
        </row>
        <row r="35">
          <cell r="E35">
            <v>112172.33</v>
          </cell>
        </row>
        <row r="42">
          <cell r="E42">
            <v>9400</v>
          </cell>
        </row>
        <row r="44">
          <cell r="E44">
            <v>594259</v>
          </cell>
        </row>
        <row r="45">
          <cell r="E45">
            <v>50000</v>
          </cell>
        </row>
        <row r="46">
          <cell r="E46">
            <v>78000</v>
          </cell>
        </row>
        <row r="47">
          <cell r="E47">
            <v>120285</v>
          </cell>
        </row>
        <row r="48">
          <cell r="E48">
            <v>144900</v>
          </cell>
        </row>
        <row r="49">
          <cell r="E49">
            <v>130000</v>
          </cell>
        </row>
        <row r="50">
          <cell r="E50">
            <v>135145.60000000001</v>
          </cell>
        </row>
        <row r="51">
          <cell r="E51">
            <v>89935</v>
          </cell>
        </row>
        <row r="52">
          <cell r="E52">
            <v>3900</v>
          </cell>
        </row>
        <row r="53">
          <cell r="E53">
            <v>15000</v>
          </cell>
        </row>
        <row r="54">
          <cell r="E54">
            <v>2772703.5</v>
          </cell>
          <cell r="J54">
            <v>695984</v>
          </cell>
          <cell r="K54">
            <v>1400267</v>
          </cell>
        </row>
        <row r="56">
          <cell r="E56">
            <v>80000</v>
          </cell>
        </row>
        <row r="63">
          <cell r="E63">
            <v>8000</v>
          </cell>
        </row>
        <row r="64">
          <cell r="E64">
            <v>1000</v>
          </cell>
          <cell r="J64">
            <v>1000</v>
          </cell>
        </row>
        <row r="65">
          <cell r="E65">
            <v>0</v>
          </cell>
        </row>
        <row r="66">
          <cell r="E66">
            <v>29874.9</v>
          </cell>
        </row>
        <row r="67">
          <cell r="E67">
            <v>15462</v>
          </cell>
        </row>
        <row r="68">
          <cell r="E68">
            <v>5000</v>
          </cell>
        </row>
        <row r="69">
          <cell r="E69">
            <v>4000</v>
          </cell>
        </row>
        <row r="70">
          <cell r="E70">
            <v>1000</v>
          </cell>
        </row>
        <row r="71">
          <cell r="E71">
            <v>13500</v>
          </cell>
        </row>
        <row r="72">
          <cell r="E72">
            <v>73022</v>
          </cell>
        </row>
        <row r="73">
          <cell r="E73">
            <v>3000</v>
          </cell>
        </row>
        <row r="74">
          <cell r="E74">
            <v>65220</v>
          </cell>
        </row>
        <row r="75">
          <cell r="E75">
            <v>6000</v>
          </cell>
        </row>
        <row r="76">
          <cell r="E76">
            <v>3000</v>
          </cell>
        </row>
        <row r="77">
          <cell r="E77">
            <v>0</v>
          </cell>
        </row>
        <row r="78">
          <cell r="E78">
            <v>862600</v>
          </cell>
          <cell r="K78">
            <v>645000</v>
          </cell>
        </row>
      </sheetData>
      <sheetData sheetId="10">
        <row r="44">
          <cell r="L44">
            <v>9528140.4900000002</v>
          </cell>
        </row>
        <row r="108">
          <cell r="L108">
            <v>46153371.490000002</v>
          </cell>
        </row>
        <row r="139">
          <cell r="L139">
            <v>4392666</v>
          </cell>
        </row>
      </sheetData>
      <sheetData sheetId="11"/>
      <sheetData sheetId="12"/>
      <sheetData sheetId="13"/>
      <sheetData sheetId="14">
        <row r="7">
          <cell r="E7">
            <v>185312.71</v>
          </cell>
        </row>
        <row r="81">
          <cell r="E81">
            <v>7321274.6200000001</v>
          </cell>
        </row>
        <row r="103">
          <cell r="J103">
            <v>234933.47000000026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2">
          <cell r="X202">
            <v>3601890.1379218102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8073-76B1-497A-8064-5F8FA93D3A97}">
  <sheetPr>
    <tabColor rgb="FF92D050"/>
    <pageSetUpPr fitToPage="1"/>
  </sheetPr>
  <dimension ref="A1:R277"/>
  <sheetViews>
    <sheetView tabSelected="1" zoomScale="110" zoomScaleNormal="110" zoomScaleSheetLayoutView="80" workbookViewId="0">
      <pane xSplit="4" ySplit="5" topLeftCell="M6" activePane="bottomRight" state="frozen"/>
      <selection activeCell="C1" sqref="C1"/>
      <selection pane="topRight" activeCell="E1" sqref="E1"/>
      <selection pane="bottomLeft" activeCell="C6" sqref="C6"/>
      <selection pane="bottomRight" activeCell="N7" sqref="N7"/>
    </sheetView>
  </sheetViews>
  <sheetFormatPr defaultRowHeight="13.8" outlineLevelRow="1" outlineLevelCol="2" x14ac:dyDescent="0.25"/>
  <cols>
    <col min="1" max="1" width="7.875" style="1" hidden="1" customWidth="1" outlineLevel="2"/>
    <col min="2" max="2" width="7" style="1" hidden="1" customWidth="1" outlineLevel="2"/>
    <col min="3" max="3" width="15" style="101" customWidth="1" collapsed="1"/>
    <col min="4" max="4" width="48.625" style="2" customWidth="1"/>
    <col min="5" max="5" width="14.875" style="1" hidden="1" customWidth="1" outlineLevel="2"/>
    <col min="6" max="6" width="16.625" style="1" hidden="1" customWidth="1" outlineLevel="2"/>
    <col min="7" max="11" width="14.875" style="1" hidden="1" customWidth="1" outlineLevel="2"/>
    <col min="12" max="12" width="14.875" style="1" hidden="1" customWidth="1" outlineLevel="1"/>
    <col min="13" max="14" width="14.875" style="1" customWidth="1" collapsed="1"/>
    <col min="15" max="15" width="14.875" style="1" customWidth="1"/>
    <col min="16" max="16" width="74.875" style="7" customWidth="1" collapsed="1"/>
    <col min="17" max="17" width="19.125" style="1" customWidth="1"/>
    <col min="18" max="18" width="13.75" style="1" customWidth="1"/>
    <col min="19" max="21" width="9" style="1" customWidth="1"/>
    <col min="22" max="187" width="9" style="1"/>
    <col min="188" max="189" width="0" style="1" hidden="1" customWidth="1"/>
    <col min="190" max="190" width="13.75" style="1" customWidth="1"/>
    <col min="191" max="191" width="52.875" style="1" customWidth="1"/>
    <col min="192" max="231" width="0" style="1" hidden="1" customWidth="1"/>
    <col min="232" max="233" width="14.875" style="1" customWidth="1"/>
    <col min="234" max="235" width="0" style="1" hidden="1" customWidth="1"/>
    <col min="236" max="236" width="14.875" style="1" customWidth="1"/>
    <col min="237" max="238" width="0" style="1" hidden="1" customWidth="1"/>
    <col min="239" max="239" width="14.875" style="1" customWidth="1"/>
    <col min="240" max="241" width="0" style="1" hidden="1" customWidth="1"/>
    <col min="242" max="242" width="14.875" style="1" customWidth="1"/>
    <col min="243" max="244" width="0" style="1" hidden="1" customWidth="1"/>
    <col min="245" max="245" width="14.875" style="1" customWidth="1"/>
    <col min="246" max="247" width="0" style="1" hidden="1" customWidth="1"/>
    <col min="248" max="249" width="14.875" style="1" customWidth="1"/>
    <col min="250" max="250" width="44.375" style="1" customWidth="1"/>
    <col min="251" max="255" width="14.875" style="1" customWidth="1"/>
    <col min="256" max="256" width="63.875" style="1" customWidth="1"/>
    <col min="257" max="257" width="13.25" style="1" customWidth="1"/>
    <col min="258" max="443" width="9" style="1"/>
    <col min="444" max="445" width="0" style="1" hidden="1" customWidth="1"/>
    <col min="446" max="446" width="13.75" style="1" customWidth="1"/>
    <col min="447" max="447" width="52.875" style="1" customWidth="1"/>
    <col min="448" max="487" width="0" style="1" hidden="1" customWidth="1"/>
    <col min="488" max="489" width="14.875" style="1" customWidth="1"/>
    <col min="490" max="491" width="0" style="1" hidden="1" customWidth="1"/>
    <col min="492" max="492" width="14.875" style="1" customWidth="1"/>
    <col min="493" max="494" width="0" style="1" hidden="1" customWidth="1"/>
    <col min="495" max="495" width="14.875" style="1" customWidth="1"/>
    <col min="496" max="497" width="0" style="1" hidden="1" customWidth="1"/>
    <col min="498" max="498" width="14.875" style="1" customWidth="1"/>
    <col min="499" max="500" width="0" style="1" hidden="1" customWidth="1"/>
    <col min="501" max="501" width="14.875" style="1" customWidth="1"/>
    <col min="502" max="503" width="0" style="1" hidden="1" customWidth="1"/>
    <col min="504" max="505" width="14.875" style="1" customWidth="1"/>
    <col min="506" max="506" width="44.375" style="1" customWidth="1"/>
    <col min="507" max="511" width="14.875" style="1" customWidth="1"/>
    <col min="512" max="512" width="63.875" style="1" customWidth="1"/>
    <col min="513" max="513" width="13.25" style="1" customWidth="1"/>
    <col min="514" max="699" width="9" style="1"/>
    <col min="700" max="701" width="0" style="1" hidden="1" customWidth="1"/>
    <col min="702" max="702" width="13.75" style="1" customWidth="1"/>
    <col min="703" max="703" width="52.875" style="1" customWidth="1"/>
    <col min="704" max="743" width="0" style="1" hidden="1" customWidth="1"/>
    <col min="744" max="745" width="14.875" style="1" customWidth="1"/>
    <col min="746" max="747" width="0" style="1" hidden="1" customWidth="1"/>
    <col min="748" max="748" width="14.875" style="1" customWidth="1"/>
    <col min="749" max="750" width="0" style="1" hidden="1" customWidth="1"/>
    <col min="751" max="751" width="14.875" style="1" customWidth="1"/>
    <col min="752" max="753" width="0" style="1" hidden="1" customWidth="1"/>
    <col min="754" max="754" width="14.875" style="1" customWidth="1"/>
    <col min="755" max="756" width="0" style="1" hidden="1" customWidth="1"/>
    <col min="757" max="757" width="14.875" style="1" customWidth="1"/>
    <col min="758" max="759" width="0" style="1" hidden="1" customWidth="1"/>
    <col min="760" max="761" width="14.875" style="1" customWidth="1"/>
    <col min="762" max="762" width="44.375" style="1" customWidth="1"/>
    <col min="763" max="767" width="14.875" style="1" customWidth="1"/>
    <col min="768" max="768" width="63.875" style="1" customWidth="1"/>
    <col min="769" max="769" width="13.25" style="1" customWidth="1"/>
    <col min="770" max="955" width="9" style="1"/>
    <col min="956" max="957" width="0" style="1" hidden="1" customWidth="1"/>
    <col min="958" max="958" width="13.75" style="1" customWidth="1"/>
    <col min="959" max="959" width="52.875" style="1" customWidth="1"/>
    <col min="960" max="999" width="0" style="1" hidden="1" customWidth="1"/>
    <col min="1000" max="1001" width="14.875" style="1" customWidth="1"/>
    <col min="1002" max="1003" width="0" style="1" hidden="1" customWidth="1"/>
    <col min="1004" max="1004" width="14.875" style="1" customWidth="1"/>
    <col min="1005" max="1006" width="0" style="1" hidden="1" customWidth="1"/>
    <col min="1007" max="1007" width="14.875" style="1" customWidth="1"/>
    <col min="1008" max="1009" width="0" style="1" hidden="1" customWidth="1"/>
    <col min="1010" max="1010" width="14.875" style="1" customWidth="1"/>
    <col min="1011" max="1012" width="0" style="1" hidden="1" customWidth="1"/>
    <col min="1013" max="1013" width="14.875" style="1" customWidth="1"/>
    <col min="1014" max="1015" width="0" style="1" hidden="1" customWidth="1"/>
    <col min="1016" max="1017" width="14.875" style="1" customWidth="1"/>
    <col min="1018" max="1018" width="44.375" style="1" customWidth="1"/>
    <col min="1019" max="1023" width="14.875" style="1" customWidth="1"/>
    <col min="1024" max="1024" width="63.875" style="1" customWidth="1"/>
    <col min="1025" max="1025" width="13.25" style="1" customWidth="1"/>
    <col min="1026" max="1211" width="9" style="1"/>
    <col min="1212" max="1213" width="0" style="1" hidden="1" customWidth="1"/>
    <col min="1214" max="1214" width="13.75" style="1" customWidth="1"/>
    <col min="1215" max="1215" width="52.875" style="1" customWidth="1"/>
    <col min="1216" max="1255" width="0" style="1" hidden="1" customWidth="1"/>
    <col min="1256" max="1257" width="14.875" style="1" customWidth="1"/>
    <col min="1258" max="1259" width="0" style="1" hidden="1" customWidth="1"/>
    <col min="1260" max="1260" width="14.875" style="1" customWidth="1"/>
    <col min="1261" max="1262" width="0" style="1" hidden="1" customWidth="1"/>
    <col min="1263" max="1263" width="14.875" style="1" customWidth="1"/>
    <col min="1264" max="1265" width="0" style="1" hidden="1" customWidth="1"/>
    <col min="1266" max="1266" width="14.875" style="1" customWidth="1"/>
    <col min="1267" max="1268" width="0" style="1" hidden="1" customWidth="1"/>
    <col min="1269" max="1269" width="14.875" style="1" customWidth="1"/>
    <col min="1270" max="1271" width="0" style="1" hidden="1" customWidth="1"/>
    <col min="1272" max="1273" width="14.875" style="1" customWidth="1"/>
    <col min="1274" max="1274" width="44.375" style="1" customWidth="1"/>
    <col min="1275" max="1279" width="14.875" style="1" customWidth="1"/>
    <col min="1280" max="1280" width="63.875" style="1" customWidth="1"/>
    <col min="1281" max="1281" width="13.25" style="1" customWidth="1"/>
    <col min="1282" max="1467" width="9" style="1"/>
    <col min="1468" max="1469" width="0" style="1" hidden="1" customWidth="1"/>
    <col min="1470" max="1470" width="13.75" style="1" customWidth="1"/>
    <col min="1471" max="1471" width="52.875" style="1" customWidth="1"/>
    <col min="1472" max="1511" width="0" style="1" hidden="1" customWidth="1"/>
    <col min="1512" max="1513" width="14.875" style="1" customWidth="1"/>
    <col min="1514" max="1515" width="0" style="1" hidden="1" customWidth="1"/>
    <col min="1516" max="1516" width="14.875" style="1" customWidth="1"/>
    <col min="1517" max="1518" width="0" style="1" hidden="1" customWidth="1"/>
    <col min="1519" max="1519" width="14.875" style="1" customWidth="1"/>
    <col min="1520" max="1521" width="0" style="1" hidden="1" customWidth="1"/>
    <col min="1522" max="1522" width="14.875" style="1" customWidth="1"/>
    <col min="1523" max="1524" width="0" style="1" hidden="1" customWidth="1"/>
    <col min="1525" max="1525" width="14.875" style="1" customWidth="1"/>
    <col min="1526" max="1527" width="0" style="1" hidden="1" customWidth="1"/>
    <col min="1528" max="1529" width="14.875" style="1" customWidth="1"/>
    <col min="1530" max="1530" width="44.375" style="1" customWidth="1"/>
    <col min="1531" max="1535" width="14.875" style="1" customWidth="1"/>
    <col min="1536" max="1536" width="63.875" style="1" customWidth="1"/>
    <col min="1537" max="1537" width="13.25" style="1" customWidth="1"/>
    <col min="1538" max="1723" width="9" style="1"/>
    <col min="1724" max="1725" width="0" style="1" hidden="1" customWidth="1"/>
    <col min="1726" max="1726" width="13.75" style="1" customWidth="1"/>
    <col min="1727" max="1727" width="52.875" style="1" customWidth="1"/>
    <col min="1728" max="1767" width="0" style="1" hidden="1" customWidth="1"/>
    <col min="1768" max="1769" width="14.875" style="1" customWidth="1"/>
    <col min="1770" max="1771" width="0" style="1" hidden="1" customWidth="1"/>
    <col min="1772" max="1772" width="14.875" style="1" customWidth="1"/>
    <col min="1773" max="1774" width="0" style="1" hidden="1" customWidth="1"/>
    <col min="1775" max="1775" width="14.875" style="1" customWidth="1"/>
    <col min="1776" max="1777" width="0" style="1" hidden="1" customWidth="1"/>
    <col min="1778" max="1778" width="14.875" style="1" customWidth="1"/>
    <col min="1779" max="1780" width="0" style="1" hidden="1" customWidth="1"/>
    <col min="1781" max="1781" width="14.875" style="1" customWidth="1"/>
    <col min="1782" max="1783" width="0" style="1" hidden="1" customWidth="1"/>
    <col min="1784" max="1785" width="14.875" style="1" customWidth="1"/>
    <col min="1786" max="1786" width="44.375" style="1" customWidth="1"/>
    <col min="1787" max="1791" width="14.875" style="1" customWidth="1"/>
    <col min="1792" max="1792" width="63.875" style="1" customWidth="1"/>
    <col min="1793" max="1793" width="13.25" style="1" customWidth="1"/>
    <col min="1794" max="1979" width="9" style="1"/>
    <col min="1980" max="1981" width="0" style="1" hidden="1" customWidth="1"/>
    <col min="1982" max="1982" width="13.75" style="1" customWidth="1"/>
    <col min="1983" max="1983" width="52.875" style="1" customWidth="1"/>
    <col min="1984" max="2023" width="0" style="1" hidden="1" customWidth="1"/>
    <col min="2024" max="2025" width="14.875" style="1" customWidth="1"/>
    <col min="2026" max="2027" width="0" style="1" hidden="1" customWidth="1"/>
    <col min="2028" max="2028" width="14.875" style="1" customWidth="1"/>
    <col min="2029" max="2030" width="0" style="1" hidden="1" customWidth="1"/>
    <col min="2031" max="2031" width="14.875" style="1" customWidth="1"/>
    <col min="2032" max="2033" width="0" style="1" hidden="1" customWidth="1"/>
    <col min="2034" max="2034" width="14.875" style="1" customWidth="1"/>
    <col min="2035" max="2036" width="0" style="1" hidden="1" customWidth="1"/>
    <col min="2037" max="2037" width="14.875" style="1" customWidth="1"/>
    <col min="2038" max="2039" width="0" style="1" hidden="1" customWidth="1"/>
    <col min="2040" max="2041" width="14.875" style="1" customWidth="1"/>
    <col min="2042" max="2042" width="44.375" style="1" customWidth="1"/>
    <col min="2043" max="2047" width="14.875" style="1" customWidth="1"/>
    <col min="2048" max="2048" width="63.875" style="1" customWidth="1"/>
    <col min="2049" max="2049" width="13.25" style="1" customWidth="1"/>
    <col min="2050" max="2235" width="9" style="1"/>
    <col min="2236" max="2237" width="0" style="1" hidden="1" customWidth="1"/>
    <col min="2238" max="2238" width="13.75" style="1" customWidth="1"/>
    <col min="2239" max="2239" width="52.875" style="1" customWidth="1"/>
    <col min="2240" max="2279" width="0" style="1" hidden="1" customWidth="1"/>
    <col min="2280" max="2281" width="14.875" style="1" customWidth="1"/>
    <col min="2282" max="2283" width="0" style="1" hidden="1" customWidth="1"/>
    <col min="2284" max="2284" width="14.875" style="1" customWidth="1"/>
    <col min="2285" max="2286" width="0" style="1" hidden="1" customWidth="1"/>
    <col min="2287" max="2287" width="14.875" style="1" customWidth="1"/>
    <col min="2288" max="2289" width="0" style="1" hidden="1" customWidth="1"/>
    <col min="2290" max="2290" width="14.875" style="1" customWidth="1"/>
    <col min="2291" max="2292" width="0" style="1" hidden="1" customWidth="1"/>
    <col min="2293" max="2293" width="14.875" style="1" customWidth="1"/>
    <col min="2294" max="2295" width="0" style="1" hidden="1" customWidth="1"/>
    <col min="2296" max="2297" width="14.875" style="1" customWidth="1"/>
    <col min="2298" max="2298" width="44.375" style="1" customWidth="1"/>
    <col min="2299" max="2303" width="14.875" style="1" customWidth="1"/>
    <col min="2304" max="2304" width="63.875" style="1" customWidth="1"/>
    <col min="2305" max="2305" width="13.25" style="1" customWidth="1"/>
    <col min="2306" max="2491" width="9" style="1"/>
    <col min="2492" max="2493" width="0" style="1" hidden="1" customWidth="1"/>
    <col min="2494" max="2494" width="13.75" style="1" customWidth="1"/>
    <col min="2495" max="2495" width="52.875" style="1" customWidth="1"/>
    <col min="2496" max="2535" width="0" style="1" hidden="1" customWidth="1"/>
    <col min="2536" max="2537" width="14.875" style="1" customWidth="1"/>
    <col min="2538" max="2539" width="0" style="1" hidden="1" customWidth="1"/>
    <col min="2540" max="2540" width="14.875" style="1" customWidth="1"/>
    <col min="2541" max="2542" width="0" style="1" hidden="1" customWidth="1"/>
    <col min="2543" max="2543" width="14.875" style="1" customWidth="1"/>
    <col min="2544" max="2545" width="0" style="1" hidden="1" customWidth="1"/>
    <col min="2546" max="2546" width="14.875" style="1" customWidth="1"/>
    <col min="2547" max="2548" width="0" style="1" hidden="1" customWidth="1"/>
    <col min="2549" max="2549" width="14.875" style="1" customWidth="1"/>
    <col min="2550" max="2551" width="0" style="1" hidden="1" customWidth="1"/>
    <col min="2552" max="2553" width="14.875" style="1" customWidth="1"/>
    <col min="2554" max="2554" width="44.375" style="1" customWidth="1"/>
    <col min="2555" max="2559" width="14.875" style="1" customWidth="1"/>
    <col min="2560" max="2560" width="63.875" style="1" customWidth="1"/>
    <col min="2561" max="2561" width="13.25" style="1" customWidth="1"/>
    <col min="2562" max="2747" width="9" style="1"/>
    <col min="2748" max="2749" width="0" style="1" hidden="1" customWidth="1"/>
    <col min="2750" max="2750" width="13.75" style="1" customWidth="1"/>
    <col min="2751" max="2751" width="52.875" style="1" customWidth="1"/>
    <col min="2752" max="2791" width="0" style="1" hidden="1" customWidth="1"/>
    <col min="2792" max="2793" width="14.875" style="1" customWidth="1"/>
    <col min="2794" max="2795" width="0" style="1" hidden="1" customWidth="1"/>
    <col min="2796" max="2796" width="14.875" style="1" customWidth="1"/>
    <col min="2797" max="2798" width="0" style="1" hidden="1" customWidth="1"/>
    <col min="2799" max="2799" width="14.875" style="1" customWidth="1"/>
    <col min="2800" max="2801" width="0" style="1" hidden="1" customWidth="1"/>
    <col min="2802" max="2802" width="14.875" style="1" customWidth="1"/>
    <col min="2803" max="2804" width="0" style="1" hidden="1" customWidth="1"/>
    <col min="2805" max="2805" width="14.875" style="1" customWidth="1"/>
    <col min="2806" max="2807" width="0" style="1" hidden="1" customWidth="1"/>
    <col min="2808" max="2809" width="14.875" style="1" customWidth="1"/>
    <col min="2810" max="2810" width="44.375" style="1" customWidth="1"/>
    <col min="2811" max="2815" width="14.875" style="1" customWidth="1"/>
    <col min="2816" max="2816" width="63.875" style="1" customWidth="1"/>
    <col min="2817" max="2817" width="13.25" style="1" customWidth="1"/>
    <col min="2818" max="3003" width="9" style="1"/>
    <col min="3004" max="3005" width="0" style="1" hidden="1" customWidth="1"/>
    <col min="3006" max="3006" width="13.75" style="1" customWidth="1"/>
    <col min="3007" max="3007" width="52.875" style="1" customWidth="1"/>
    <col min="3008" max="3047" width="0" style="1" hidden="1" customWidth="1"/>
    <col min="3048" max="3049" width="14.875" style="1" customWidth="1"/>
    <col min="3050" max="3051" width="0" style="1" hidden="1" customWidth="1"/>
    <col min="3052" max="3052" width="14.875" style="1" customWidth="1"/>
    <col min="3053" max="3054" width="0" style="1" hidden="1" customWidth="1"/>
    <col min="3055" max="3055" width="14.875" style="1" customWidth="1"/>
    <col min="3056" max="3057" width="0" style="1" hidden="1" customWidth="1"/>
    <col min="3058" max="3058" width="14.875" style="1" customWidth="1"/>
    <col min="3059" max="3060" width="0" style="1" hidden="1" customWidth="1"/>
    <col min="3061" max="3061" width="14.875" style="1" customWidth="1"/>
    <col min="3062" max="3063" width="0" style="1" hidden="1" customWidth="1"/>
    <col min="3064" max="3065" width="14.875" style="1" customWidth="1"/>
    <col min="3066" max="3066" width="44.375" style="1" customWidth="1"/>
    <col min="3067" max="3071" width="14.875" style="1" customWidth="1"/>
    <col min="3072" max="3072" width="63.875" style="1" customWidth="1"/>
    <col min="3073" max="3073" width="13.25" style="1" customWidth="1"/>
    <col min="3074" max="3259" width="9" style="1"/>
    <col min="3260" max="3261" width="0" style="1" hidden="1" customWidth="1"/>
    <col min="3262" max="3262" width="13.75" style="1" customWidth="1"/>
    <col min="3263" max="3263" width="52.875" style="1" customWidth="1"/>
    <col min="3264" max="3303" width="0" style="1" hidden="1" customWidth="1"/>
    <col min="3304" max="3305" width="14.875" style="1" customWidth="1"/>
    <col min="3306" max="3307" width="0" style="1" hidden="1" customWidth="1"/>
    <col min="3308" max="3308" width="14.875" style="1" customWidth="1"/>
    <col min="3309" max="3310" width="0" style="1" hidden="1" customWidth="1"/>
    <col min="3311" max="3311" width="14.875" style="1" customWidth="1"/>
    <col min="3312" max="3313" width="0" style="1" hidden="1" customWidth="1"/>
    <col min="3314" max="3314" width="14.875" style="1" customWidth="1"/>
    <col min="3315" max="3316" width="0" style="1" hidden="1" customWidth="1"/>
    <col min="3317" max="3317" width="14.875" style="1" customWidth="1"/>
    <col min="3318" max="3319" width="0" style="1" hidden="1" customWidth="1"/>
    <col min="3320" max="3321" width="14.875" style="1" customWidth="1"/>
    <col min="3322" max="3322" width="44.375" style="1" customWidth="1"/>
    <col min="3323" max="3327" width="14.875" style="1" customWidth="1"/>
    <col min="3328" max="3328" width="63.875" style="1" customWidth="1"/>
    <col min="3329" max="3329" width="13.25" style="1" customWidth="1"/>
    <col min="3330" max="3515" width="9" style="1"/>
    <col min="3516" max="3517" width="0" style="1" hidden="1" customWidth="1"/>
    <col min="3518" max="3518" width="13.75" style="1" customWidth="1"/>
    <col min="3519" max="3519" width="52.875" style="1" customWidth="1"/>
    <col min="3520" max="3559" width="0" style="1" hidden="1" customWidth="1"/>
    <col min="3560" max="3561" width="14.875" style="1" customWidth="1"/>
    <col min="3562" max="3563" width="0" style="1" hidden="1" customWidth="1"/>
    <col min="3564" max="3564" width="14.875" style="1" customWidth="1"/>
    <col min="3565" max="3566" width="0" style="1" hidden="1" customWidth="1"/>
    <col min="3567" max="3567" width="14.875" style="1" customWidth="1"/>
    <col min="3568" max="3569" width="0" style="1" hidden="1" customWidth="1"/>
    <col min="3570" max="3570" width="14.875" style="1" customWidth="1"/>
    <col min="3571" max="3572" width="0" style="1" hidden="1" customWidth="1"/>
    <col min="3573" max="3573" width="14.875" style="1" customWidth="1"/>
    <col min="3574" max="3575" width="0" style="1" hidden="1" customWidth="1"/>
    <col min="3576" max="3577" width="14.875" style="1" customWidth="1"/>
    <col min="3578" max="3578" width="44.375" style="1" customWidth="1"/>
    <col min="3579" max="3583" width="14.875" style="1" customWidth="1"/>
    <col min="3584" max="3584" width="63.875" style="1" customWidth="1"/>
    <col min="3585" max="3585" width="13.25" style="1" customWidth="1"/>
    <col min="3586" max="3771" width="9" style="1"/>
    <col min="3772" max="3773" width="0" style="1" hidden="1" customWidth="1"/>
    <col min="3774" max="3774" width="13.75" style="1" customWidth="1"/>
    <col min="3775" max="3775" width="52.875" style="1" customWidth="1"/>
    <col min="3776" max="3815" width="0" style="1" hidden="1" customWidth="1"/>
    <col min="3816" max="3817" width="14.875" style="1" customWidth="1"/>
    <col min="3818" max="3819" width="0" style="1" hidden="1" customWidth="1"/>
    <col min="3820" max="3820" width="14.875" style="1" customWidth="1"/>
    <col min="3821" max="3822" width="0" style="1" hidden="1" customWidth="1"/>
    <col min="3823" max="3823" width="14.875" style="1" customWidth="1"/>
    <col min="3824" max="3825" width="0" style="1" hidden="1" customWidth="1"/>
    <col min="3826" max="3826" width="14.875" style="1" customWidth="1"/>
    <col min="3827" max="3828" width="0" style="1" hidden="1" customWidth="1"/>
    <col min="3829" max="3829" width="14.875" style="1" customWidth="1"/>
    <col min="3830" max="3831" width="0" style="1" hidden="1" customWidth="1"/>
    <col min="3832" max="3833" width="14.875" style="1" customWidth="1"/>
    <col min="3834" max="3834" width="44.375" style="1" customWidth="1"/>
    <col min="3835" max="3839" width="14.875" style="1" customWidth="1"/>
    <col min="3840" max="3840" width="63.875" style="1" customWidth="1"/>
    <col min="3841" max="3841" width="13.25" style="1" customWidth="1"/>
    <col min="3842" max="4027" width="9" style="1"/>
    <col min="4028" max="4029" width="0" style="1" hidden="1" customWidth="1"/>
    <col min="4030" max="4030" width="13.75" style="1" customWidth="1"/>
    <col min="4031" max="4031" width="52.875" style="1" customWidth="1"/>
    <col min="4032" max="4071" width="0" style="1" hidden="1" customWidth="1"/>
    <col min="4072" max="4073" width="14.875" style="1" customWidth="1"/>
    <col min="4074" max="4075" width="0" style="1" hidden="1" customWidth="1"/>
    <col min="4076" max="4076" width="14.875" style="1" customWidth="1"/>
    <col min="4077" max="4078" width="0" style="1" hidden="1" customWidth="1"/>
    <col min="4079" max="4079" width="14.875" style="1" customWidth="1"/>
    <col min="4080" max="4081" width="0" style="1" hidden="1" customWidth="1"/>
    <col min="4082" max="4082" width="14.875" style="1" customWidth="1"/>
    <col min="4083" max="4084" width="0" style="1" hidden="1" customWidth="1"/>
    <col min="4085" max="4085" width="14.875" style="1" customWidth="1"/>
    <col min="4086" max="4087" width="0" style="1" hidden="1" customWidth="1"/>
    <col min="4088" max="4089" width="14.875" style="1" customWidth="1"/>
    <col min="4090" max="4090" width="44.375" style="1" customWidth="1"/>
    <col min="4091" max="4095" width="14.875" style="1" customWidth="1"/>
    <col min="4096" max="4096" width="63.875" style="1" customWidth="1"/>
    <col min="4097" max="4097" width="13.25" style="1" customWidth="1"/>
    <col min="4098" max="4283" width="9" style="1"/>
    <col min="4284" max="4285" width="0" style="1" hidden="1" customWidth="1"/>
    <col min="4286" max="4286" width="13.75" style="1" customWidth="1"/>
    <col min="4287" max="4287" width="52.875" style="1" customWidth="1"/>
    <col min="4288" max="4327" width="0" style="1" hidden="1" customWidth="1"/>
    <col min="4328" max="4329" width="14.875" style="1" customWidth="1"/>
    <col min="4330" max="4331" width="0" style="1" hidden="1" customWidth="1"/>
    <col min="4332" max="4332" width="14.875" style="1" customWidth="1"/>
    <col min="4333" max="4334" width="0" style="1" hidden="1" customWidth="1"/>
    <col min="4335" max="4335" width="14.875" style="1" customWidth="1"/>
    <col min="4336" max="4337" width="0" style="1" hidden="1" customWidth="1"/>
    <col min="4338" max="4338" width="14.875" style="1" customWidth="1"/>
    <col min="4339" max="4340" width="0" style="1" hidden="1" customWidth="1"/>
    <col min="4341" max="4341" width="14.875" style="1" customWidth="1"/>
    <col min="4342" max="4343" width="0" style="1" hidden="1" customWidth="1"/>
    <col min="4344" max="4345" width="14.875" style="1" customWidth="1"/>
    <col min="4346" max="4346" width="44.375" style="1" customWidth="1"/>
    <col min="4347" max="4351" width="14.875" style="1" customWidth="1"/>
    <col min="4352" max="4352" width="63.875" style="1" customWidth="1"/>
    <col min="4353" max="4353" width="13.25" style="1" customWidth="1"/>
    <col min="4354" max="4539" width="9" style="1"/>
    <col min="4540" max="4541" width="0" style="1" hidden="1" customWidth="1"/>
    <col min="4542" max="4542" width="13.75" style="1" customWidth="1"/>
    <col min="4543" max="4543" width="52.875" style="1" customWidth="1"/>
    <col min="4544" max="4583" width="0" style="1" hidden="1" customWidth="1"/>
    <col min="4584" max="4585" width="14.875" style="1" customWidth="1"/>
    <col min="4586" max="4587" width="0" style="1" hidden="1" customWidth="1"/>
    <col min="4588" max="4588" width="14.875" style="1" customWidth="1"/>
    <col min="4589" max="4590" width="0" style="1" hidden="1" customWidth="1"/>
    <col min="4591" max="4591" width="14.875" style="1" customWidth="1"/>
    <col min="4592" max="4593" width="0" style="1" hidden="1" customWidth="1"/>
    <col min="4594" max="4594" width="14.875" style="1" customWidth="1"/>
    <col min="4595" max="4596" width="0" style="1" hidden="1" customWidth="1"/>
    <col min="4597" max="4597" width="14.875" style="1" customWidth="1"/>
    <col min="4598" max="4599" width="0" style="1" hidden="1" customWidth="1"/>
    <col min="4600" max="4601" width="14.875" style="1" customWidth="1"/>
    <col min="4602" max="4602" width="44.375" style="1" customWidth="1"/>
    <col min="4603" max="4607" width="14.875" style="1" customWidth="1"/>
    <col min="4608" max="4608" width="63.875" style="1" customWidth="1"/>
    <col min="4609" max="4609" width="13.25" style="1" customWidth="1"/>
    <col min="4610" max="4795" width="9" style="1"/>
    <col min="4796" max="4797" width="0" style="1" hidden="1" customWidth="1"/>
    <col min="4798" max="4798" width="13.75" style="1" customWidth="1"/>
    <col min="4799" max="4799" width="52.875" style="1" customWidth="1"/>
    <col min="4800" max="4839" width="0" style="1" hidden="1" customWidth="1"/>
    <col min="4840" max="4841" width="14.875" style="1" customWidth="1"/>
    <col min="4842" max="4843" width="0" style="1" hidden="1" customWidth="1"/>
    <col min="4844" max="4844" width="14.875" style="1" customWidth="1"/>
    <col min="4845" max="4846" width="0" style="1" hidden="1" customWidth="1"/>
    <col min="4847" max="4847" width="14.875" style="1" customWidth="1"/>
    <col min="4848" max="4849" width="0" style="1" hidden="1" customWidth="1"/>
    <col min="4850" max="4850" width="14.875" style="1" customWidth="1"/>
    <col min="4851" max="4852" width="0" style="1" hidden="1" customWidth="1"/>
    <col min="4853" max="4853" width="14.875" style="1" customWidth="1"/>
    <col min="4854" max="4855" width="0" style="1" hidden="1" customWidth="1"/>
    <col min="4856" max="4857" width="14.875" style="1" customWidth="1"/>
    <col min="4858" max="4858" width="44.375" style="1" customWidth="1"/>
    <col min="4859" max="4863" width="14.875" style="1" customWidth="1"/>
    <col min="4864" max="4864" width="63.875" style="1" customWidth="1"/>
    <col min="4865" max="4865" width="13.25" style="1" customWidth="1"/>
    <col min="4866" max="5051" width="9" style="1"/>
    <col min="5052" max="5053" width="0" style="1" hidden="1" customWidth="1"/>
    <col min="5054" max="5054" width="13.75" style="1" customWidth="1"/>
    <col min="5055" max="5055" width="52.875" style="1" customWidth="1"/>
    <col min="5056" max="5095" width="0" style="1" hidden="1" customWidth="1"/>
    <col min="5096" max="5097" width="14.875" style="1" customWidth="1"/>
    <col min="5098" max="5099" width="0" style="1" hidden="1" customWidth="1"/>
    <col min="5100" max="5100" width="14.875" style="1" customWidth="1"/>
    <col min="5101" max="5102" width="0" style="1" hidden="1" customWidth="1"/>
    <col min="5103" max="5103" width="14.875" style="1" customWidth="1"/>
    <col min="5104" max="5105" width="0" style="1" hidden="1" customWidth="1"/>
    <col min="5106" max="5106" width="14.875" style="1" customWidth="1"/>
    <col min="5107" max="5108" width="0" style="1" hidden="1" customWidth="1"/>
    <col min="5109" max="5109" width="14.875" style="1" customWidth="1"/>
    <col min="5110" max="5111" width="0" style="1" hidden="1" customWidth="1"/>
    <col min="5112" max="5113" width="14.875" style="1" customWidth="1"/>
    <col min="5114" max="5114" width="44.375" style="1" customWidth="1"/>
    <col min="5115" max="5119" width="14.875" style="1" customWidth="1"/>
    <col min="5120" max="5120" width="63.875" style="1" customWidth="1"/>
    <col min="5121" max="5121" width="13.25" style="1" customWidth="1"/>
    <col min="5122" max="5307" width="9" style="1"/>
    <col min="5308" max="5309" width="0" style="1" hidden="1" customWidth="1"/>
    <col min="5310" max="5310" width="13.75" style="1" customWidth="1"/>
    <col min="5311" max="5311" width="52.875" style="1" customWidth="1"/>
    <col min="5312" max="5351" width="0" style="1" hidden="1" customWidth="1"/>
    <col min="5352" max="5353" width="14.875" style="1" customWidth="1"/>
    <col min="5354" max="5355" width="0" style="1" hidden="1" customWidth="1"/>
    <col min="5356" max="5356" width="14.875" style="1" customWidth="1"/>
    <col min="5357" max="5358" width="0" style="1" hidden="1" customWidth="1"/>
    <col min="5359" max="5359" width="14.875" style="1" customWidth="1"/>
    <col min="5360" max="5361" width="0" style="1" hidden="1" customWidth="1"/>
    <col min="5362" max="5362" width="14.875" style="1" customWidth="1"/>
    <col min="5363" max="5364" width="0" style="1" hidden="1" customWidth="1"/>
    <col min="5365" max="5365" width="14.875" style="1" customWidth="1"/>
    <col min="5366" max="5367" width="0" style="1" hidden="1" customWidth="1"/>
    <col min="5368" max="5369" width="14.875" style="1" customWidth="1"/>
    <col min="5370" max="5370" width="44.375" style="1" customWidth="1"/>
    <col min="5371" max="5375" width="14.875" style="1" customWidth="1"/>
    <col min="5376" max="5376" width="63.875" style="1" customWidth="1"/>
    <col min="5377" max="5377" width="13.25" style="1" customWidth="1"/>
    <col min="5378" max="5563" width="9" style="1"/>
    <col min="5564" max="5565" width="0" style="1" hidden="1" customWidth="1"/>
    <col min="5566" max="5566" width="13.75" style="1" customWidth="1"/>
    <col min="5567" max="5567" width="52.875" style="1" customWidth="1"/>
    <col min="5568" max="5607" width="0" style="1" hidden="1" customWidth="1"/>
    <col min="5608" max="5609" width="14.875" style="1" customWidth="1"/>
    <col min="5610" max="5611" width="0" style="1" hidden="1" customWidth="1"/>
    <col min="5612" max="5612" width="14.875" style="1" customWidth="1"/>
    <col min="5613" max="5614" width="0" style="1" hidden="1" customWidth="1"/>
    <col min="5615" max="5615" width="14.875" style="1" customWidth="1"/>
    <col min="5616" max="5617" width="0" style="1" hidden="1" customWidth="1"/>
    <col min="5618" max="5618" width="14.875" style="1" customWidth="1"/>
    <col min="5619" max="5620" width="0" style="1" hidden="1" customWidth="1"/>
    <col min="5621" max="5621" width="14.875" style="1" customWidth="1"/>
    <col min="5622" max="5623" width="0" style="1" hidden="1" customWidth="1"/>
    <col min="5624" max="5625" width="14.875" style="1" customWidth="1"/>
    <col min="5626" max="5626" width="44.375" style="1" customWidth="1"/>
    <col min="5627" max="5631" width="14.875" style="1" customWidth="1"/>
    <col min="5632" max="5632" width="63.875" style="1" customWidth="1"/>
    <col min="5633" max="5633" width="13.25" style="1" customWidth="1"/>
    <col min="5634" max="5819" width="9" style="1"/>
    <col min="5820" max="5821" width="0" style="1" hidden="1" customWidth="1"/>
    <col min="5822" max="5822" width="13.75" style="1" customWidth="1"/>
    <col min="5823" max="5823" width="52.875" style="1" customWidth="1"/>
    <col min="5824" max="5863" width="0" style="1" hidden="1" customWidth="1"/>
    <col min="5864" max="5865" width="14.875" style="1" customWidth="1"/>
    <col min="5866" max="5867" width="0" style="1" hidden="1" customWidth="1"/>
    <col min="5868" max="5868" width="14.875" style="1" customWidth="1"/>
    <col min="5869" max="5870" width="0" style="1" hidden="1" customWidth="1"/>
    <col min="5871" max="5871" width="14.875" style="1" customWidth="1"/>
    <col min="5872" max="5873" width="0" style="1" hidden="1" customWidth="1"/>
    <col min="5874" max="5874" width="14.875" style="1" customWidth="1"/>
    <col min="5875" max="5876" width="0" style="1" hidden="1" customWidth="1"/>
    <col min="5877" max="5877" width="14.875" style="1" customWidth="1"/>
    <col min="5878" max="5879" width="0" style="1" hidden="1" customWidth="1"/>
    <col min="5880" max="5881" width="14.875" style="1" customWidth="1"/>
    <col min="5882" max="5882" width="44.375" style="1" customWidth="1"/>
    <col min="5883" max="5887" width="14.875" style="1" customWidth="1"/>
    <col min="5888" max="5888" width="63.875" style="1" customWidth="1"/>
    <col min="5889" max="5889" width="13.25" style="1" customWidth="1"/>
    <col min="5890" max="6075" width="9" style="1"/>
    <col min="6076" max="6077" width="0" style="1" hidden="1" customWidth="1"/>
    <col min="6078" max="6078" width="13.75" style="1" customWidth="1"/>
    <col min="6079" max="6079" width="52.875" style="1" customWidth="1"/>
    <col min="6080" max="6119" width="0" style="1" hidden="1" customWidth="1"/>
    <col min="6120" max="6121" width="14.875" style="1" customWidth="1"/>
    <col min="6122" max="6123" width="0" style="1" hidden="1" customWidth="1"/>
    <col min="6124" max="6124" width="14.875" style="1" customWidth="1"/>
    <col min="6125" max="6126" width="0" style="1" hidden="1" customWidth="1"/>
    <col min="6127" max="6127" width="14.875" style="1" customWidth="1"/>
    <col min="6128" max="6129" width="0" style="1" hidden="1" customWidth="1"/>
    <col min="6130" max="6130" width="14.875" style="1" customWidth="1"/>
    <col min="6131" max="6132" width="0" style="1" hidden="1" customWidth="1"/>
    <col min="6133" max="6133" width="14.875" style="1" customWidth="1"/>
    <col min="6134" max="6135" width="0" style="1" hidden="1" customWidth="1"/>
    <col min="6136" max="6137" width="14.875" style="1" customWidth="1"/>
    <col min="6138" max="6138" width="44.375" style="1" customWidth="1"/>
    <col min="6139" max="6143" width="14.875" style="1" customWidth="1"/>
    <col min="6144" max="6144" width="63.875" style="1" customWidth="1"/>
    <col min="6145" max="6145" width="13.25" style="1" customWidth="1"/>
    <col min="6146" max="6331" width="9" style="1"/>
    <col min="6332" max="6333" width="0" style="1" hidden="1" customWidth="1"/>
    <col min="6334" max="6334" width="13.75" style="1" customWidth="1"/>
    <col min="6335" max="6335" width="52.875" style="1" customWidth="1"/>
    <col min="6336" max="6375" width="0" style="1" hidden="1" customWidth="1"/>
    <col min="6376" max="6377" width="14.875" style="1" customWidth="1"/>
    <col min="6378" max="6379" width="0" style="1" hidden="1" customWidth="1"/>
    <col min="6380" max="6380" width="14.875" style="1" customWidth="1"/>
    <col min="6381" max="6382" width="0" style="1" hidden="1" customWidth="1"/>
    <col min="6383" max="6383" width="14.875" style="1" customWidth="1"/>
    <col min="6384" max="6385" width="0" style="1" hidden="1" customWidth="1"/>
    <col min="6386" max="6386" width="14.875" style="1" customWidth="1"/>
    <col min="6387" max="6388" width="0" style="1" hidden="1" customWidth="1"/>
    <col min="6389" max="6389" width="14.875" style="1" customWidth="1"/>
    <col min="6390" max="6391" width="0" style="1" hidden="1" customWidth="1"/>
    <col min="6392" max="6393" width="14.875" style="1" customWidth="1"/>
    <col min="6394" max="6394" width="44.375" style="1" customWidth="1"/>
    <col min="6395" max="6399" width="14.875" style="1" customWidth="1"/>
    <col min="6400" max="6400" width="63.875" style="1" customWidth="1"/>
    <col min="6401" max="6401" width="13.25" style="1" customWidth="1"/>
    <col min="6402" max="6587" width="9" style="1"/>
    <col min="6588" max="6589" width="0" style="1" hidden="1" customWidth="1"/>
    <col min="6590" max="6590" width="13.75" style="1" customWidth="1"/>
    <col min="6591" max="6591" width="52.875" style="1" customWidth="1"/>
    <col min="6592" max="6631" width="0" style="1" hidden="1" customWidth="1"/>
    <col min="6632" max="6633" width="14.875" style="1" customWidth="1"/>
    <col min="6634" max="6635" width="0" style="1" hidden="1" customWidth="1"/>
    <col min="6636" max="6636" width="14.875" style="1" customWidth="1"/>
    <col min="6637" max="6638" width="0" style="1" hidden="1" customWidth="1"/>
    <col min="6639" max="6639" width="14.875" style="1" customWidth="1"/>
    <col min="6640" max="6641" width="0" style="1" hidden="1" customWidth="1"/>
    <col min="6642" max="6642" width="14.875" style="1" customWidth="1"/>
    <col min="6643" max="6644" width="0" style="1" hidden="1" customWidth="1"/>
    <col min="6645" max="6645" width="14.875" style="1" customWidth="1"/>
    <col min="6646" max="6647" width="0" style="1" hidden="1" customWidth="1"/>
    <col min="6648" max="6649" width="14.875" style="1" customWidth="1"/>
    <col min="6650" max="6650" width="44.375" style="1" customWidth="1"/>
    <col min="6651" max="6655" width="14.875" style="1" customWidth="1"/>
    <col min="6656" max="6656" width="63.875" style="1" customWidth="1"/>
    <col min="6657" max="6657" width="13.25" style="1" customWidth="1"/>
    <col min="6658" max="6843" width="9" style="1"/>
    <col min="6844" max="6845" width="0" style="1" hidden="1" customWidth="1"/>
    <col min="6846" max="6846" width="13.75" style="1" customWidth="1"/>
    <col min="6847" max="6847" width="52.875" style="1" customWidth="1"/>
    <col min="6848" max="6887" width="0" style="1" hidden="1" customWidth="1"/>
    <col min="6888" max="6889" width="14.875" style="1" customWidth="1"/>
    <col min="6890" max="6891" width="0" style="1" hidden="1" customWidth="1"/>
    <col min="6892" max="6892" width="14.875" style="1" customWidth="1"/>
    <col min="6893" max="6894" width="0" style="1" hidden="1" customWidth="1"/>
    <col min="6895" max="6895" width="14.875" style="1" customWidth="1"/>
    <col min="6896" max="6897" width="0" style="1" hidden="1" customWidth="1"/>
    <col min="6898" max="6898" width="14.875" style="1" customWidth="1"/>
    <col min="6899" max="6900" width="0" style="1" hidden="1" customWidth="1"/>
    <col min="6901" max="6901" width="14.875" style="1" customWidth="1"/>
    <col min="6902" max="6903" width="0" style="1" hidden="1" customWidth="1"/>
    <col min="6904" max="6905" width="14.875" style="1" customWidth="1"/>
    <col min="6906" max="6906" width="44.375" style="1" customWidth="1"/>
    <col min="6907" max="6911" width="14.875" style="1" customWidth="1"/>
    <col min="6912" max="6912" width="63.875" style="1" customWidth="1"/>
    <col min="6913" max="6913" width="13.25" style="1" customWidth="1"/>
    <col min="6914" max="7099" width="9" style="1"/>
    <col min="7100" max="7101" width="0" style="1" hidden="1" customWidth="1"/>
    <col min="7102" max="7102" width="13.75" style="1" customWidth="1"/>
    <col min="7103" max="7103" width="52.875" style="1" customWidth="1"/>
    <col min="7104" max="7143" width="0" style="1" hidden="1" customWidth="1"/>
    <col min="7144" max="7145" width="14.875" style="1" customWidth="1"/>
    <col min="7146" max="7147" width="0" style="1" hidden="1" customWidth="1"/>
    <col min="7148" max="7148" width="14.875" style="1" customWidth="1"/>
    <col min="7149" max="7150" width="0" style="1" hidden="1" customWidth="1"/>
    <col min="7151" max="7151" width="14.875" style="1" customWidth="1"/>
    <col min="7152" max="7153" width="0" style="1" hidden="1" customWidth="1"/>
    <col min="7154" max="7154" width="14.875" style="1" customWidth="1"/>
    <col min="7155" max="7156" width="0" style="1" hidden="1" customWidth="1"/>
    <col min="7157" max="7157" width="14.875" style="1" customWidth="1"/>
    <col min="7158" max="7159" width="0" style="1" hidden="1" customWidth="1"/>
    <col min="7160" max="7161" width="14.875" style="1" customWidth="1"/>
    <col min="7162" max="7162" width="44.375" style="1" customWidth="1"/>
    <col min="7163" max="7167" width="14.875" style="1" customWidth="1"/>
    <col min="7168" max="7168" width="63.875" style="1" customWidth="1"/>
    <col min="7169" max="7169" width="13.25" style="1" customWidth="1"/>
    <col min="7170" max="7355" width="9" style="1"/>
    <col min="7356" max="7357" width="0" style="1" hidden="1" customWidth="1"/>
    <col min="7358" max="7358" width="13.75" style="1" customWidth="1"/>
    <col min="7359" max="7359" width="52.875" style="1" customWidth="1"/>
    <col min="7360" max="7399" width="0" style="1" hidden="1" customWidth="1"/>
    <col min="7400" max="7401" width="14.875" style="1" customWidth="1"/>
    <col min="7402" max="7403" width="0" style="1" hidden="1" customWidth="1"/>
    <col min="7404" max="7404" width="14.875" style="1" customWidth="1"/>
    <col min="7405" max="7406" width="0" style="1" hidden="1" customWidth="1"/>
    <col min="7407" max="7407" width="14.875" style="1" customWidth="1"/>
    <col min="7408" max="7409" width="0" style="1" hidden="1" customWidth="1"/>
    <col min="7410" max="7410" width="14.875" style="1" customWidth="1"/>
    <col min="7411" max="7412" width="0" style="1" hidden="1" customWidth="1"/>
    <col min="7413" max="7413" width="14.875" style="1" customWidth="1"/>
    <col min="7414" max="7415" width="0" style="1" hidden="1" customWidth="1"/>
    <col min="7416" max="7417" width="14.875" style="1" customWidth="1"/>
    <col min="7418" max="7418" width="44.375" style="1" customWidth="1"/>
    <col min="7419" max="7423" width="14.875" style="1" customWidth="1"/>
    <col min="7424" max="7424" width="63.875" style="1" customWidth="1"/>
    <col min="7425" max="7425" width="13.25" style="1" customWidth="1"/>
    <col min="7426" max="7611" width="9" style="1"/>
    <col min="7612" max="7613" width="0" style="1" hidden="1" customWidth="1"/>
    <col min="7614" max="7614" width="13.75" style="1" customWidth="1"/>
    <col min="7615" max="7615" width="52.875" style="1" customWidth="1"/>
    <col min="7616" max="7655" width="0" style="1" hidden="1" customWidth="1"/>
    <col min="7656" max="7657" width="14.875" style="1" customWidth="1"/>
    <col min="7658" max="7659" width="0" style="1" hidden="1" customWidth="1"/>
    <col min="7660" max="7660" width="14.875" style="1" customWidth="1"/>
    <col min="7661" max="7662" width="0" style="1" hidden="1" customWidth="1"/>
    <col min="7663" max="7663" width="14.875" style="1" customWidth="1"/>
    <col min="7664" max="7665" width="0" style="1" hidden="1" customWidth="1"/>
    <col min="7666" max="7666" width="14.875" style="1" customWidth="1"/>
    <col min="7667" max="7668" width="0" style="1" hidden="1" customWidth="1"/>
    <col min="7669" max="7669" width="14.875" style="1" customWidth="1"/>
    <col min="7670" max="7671" width="0" style="1" hidden="1" customWidth="1"/>
    <col min="7672" max="7673" width="14.875" style="1" customWidth="1"/>
    <col min="7674" max="7674" width="44.375" style="1" customWidth="1"/>
    <col min="7675" max="7679" width="14.875" style="1" customWidth="1"/>
    <col min="7680" max="7680" width="63.875" style="1" customWidth="1"/>
    <col min="7681" max="7681" width="13.25" style="1" customWidth="1"/>
    <col min="7682" max="7867" width="9" style="1"/>
    <col min="7868" max="7869" width="0" style="1" hidden="1" customWidth="1"/>
    <col min="7870" max="7870" width="13.75" style="1" customWidth="1"/>
    <col min="7871" max="7871" width="52.875" style="1" customWidth="1"/>
    <col min="7872" max="7911" width="0" style="1" hidden="1" customWidth="1"/>
    <col min="7912" max="7913" width="14.875" style="1" customWidth="1"/>
    <col min="7914" max="7915" width="0" style="1" hidden="1" customWidth="1"/>
    <col min="7916" max="7916" width="14.875" style="1" customWidth="1"/>
    <col min="7917" max="7918" width="0" style="1" hidden="1" customWidth="1"/>
    <col min="7919" max="7919" width="14.875" style="1" customWidth="1"/>
    <col min="7920" max="7921" width="0" style="1" hidden="1" customWidth="1"/>
    <col min="7922" max="7922" width="14.875" style="1" customWidth="1"/>
    <col min="7923" max="7924" width="0" style="1" hidden="1" customWidth="1"/>
    <col min="7925" max="7925" width="14.875" style="1" customWidth="1"/>
    <col min="7926" max="7927" width="0" style="1" hidden="1" customWidth="1"/>
    <col min="7928" max="7929" width="14.875" style="1" customWidth="1"/>
    <col min="7930" max="7930" width="44.375" style="1" customWidth="1"/>
    <col min="7931" max="7935" width="14.875" style="1" customWidth="1"/>
    <col min="7936" max="7936" width="63.875" style="1" customWidth="1"/>
    <col min="7937" max="7937" width="13.25" style="1" customWidth="1"/>
    <col min="7938" max="8123" width="9" style="1"/>
    <col min="8124" max="8125" width="0" style="1" hidden="1" customWidth="1"/>
    <col min="8126" max="8126" width="13.75" style="1" customWidth="1"/>
    <col min="8127" max="8127" width="52.875" style="1" customWidth="1"/>
    <col min="8128" max="8167" width="0" style="1" hidden="1" customWidth="1"/>
    <col min="8168" max="8169" width="14.875" style="1" customWidth="1"/>
    <col min="8170" max="8171" width="0" style="1" hidden="1" customWidth="1"/>
    <col min="8172" max="8172" width="14.875" style="1" customWidth="1"/>
    <col min="8173" max="8174" width="0" style="1" hidden="1" customWidth="1"/>
    <col min="8175" max="8175" width="14.875" style="1" customWidth="1"/>
    <col min="8176" max="8177" width="0" style="1" hidden="1" customWidth="1"/>
    <col min="8178" max="8178" width="14.875" style="1" customWidth="1"/>
    <col min="8179" max="8180" width="0" style="1" hidden="1" customWidth="1"/>
    <col min="8181" max="8181" width="14.875" style="1" customWidth="1"/>
    <col min="8182" max="8183" width="0" style="1" hidden="1" customWidth="1"/>
    <col min="8184" max="8185" width="14.875" style="1" customWidth="1"/>
    <col min="8186" max="8186" width="44.375" style="1" customWidth="1"/>
    <col min="8187" max="8191" width="14.875" style="1" customWidth="1"/>
    <col min="8192" max="8192" width="63.875" style="1" customWidth="1"/>
    <col min="8193" max="8193" width="13.25" style="1" customWidth="1"/>
    <col min="8194" max="8379" width="9" style="1"/>
    <col min="8380" max="8381" width="0" style="1" hidden="1" customWidth="1"/>
    <col min="8382" max="8382" width="13.75" style="1" customWidth="1"/>
    <col min="8383" max="8383" width="52.875" style="1" customWidth="1"/>
    <col min="8384" max="8423" width="0" style="1" hidden="1" customWidth="1"/>
    <col min="8424" max="8425" width="14.875" style="1" customWidth="1"/>
    <col min="8426" max="8427" width="0" style="1" hidden="1" customWidth="1"/>
    <col min="8428" max="8428" width="14.875" style="1" customWidth="1"/>
    <col min="8429" max="8430" width="0" style="1" hidden="1" customWidth="1"/>
    <col min="8431" max="8431" width="14.875" style="1" customWidth="1"/>
    <col min="8432" max="8433" width="0" style="1" hidden="1" customWidth="1"/>
    <col min="8434" max="8434" width="14.875" style="1" customWidth="1"/>
    <col min="8435" max="8436" width="0" style="1" hidden="1" customWidth="1"/>
    <col min="8437" max="8437" width="14.875" style="1" customWidth="1"/>
    <col min="8438" max="8439" width="0" style="1" hidden="1" customWidth="1"/>
    <col min="8440" max="8441" width="14.875" style="1" customWidth="1"/>
    <col min="8442" max="8442" width="44.375" style="1" customWidth="1"/>
    <col min="8443" max="8447" width="14.875" style="1" customWidth="1"/>
    <col min="8448" max="8448" width="63.875" style="1" customWidth="1"/>
    <col min="8449" max="8449" width="13.25" style="1" customWidth="1"/>
    <col min="8450" max="8635" width="9" style="1"/>
    <col min="8636" max="8637" width="0" style="1" hidden="1" customWidth="1"/>
    <col min="8638" max="8638" width="13.75" style="1" customWidth="1"/>
    <col min="8639" max="8639" width="52.875" style="1" customWidth="1"/>
    <col min="8640" max="8679" width="0" style="1" hidden="1" customWidth="1"/>
    <col min="8680" max="8681" width="14.875" style="1" customWidth="1"/>
    <col min="8682" max="8683" width="0" style="1" hidden="1" customWidth="1"/>
    <col min="8684" max="8684" width="14.875" style="1" customWidth="1"/>
    <col min="8685" max="8686" width="0" style="1" hidden="1" customWidth="1"/>
    <col min="8687" max="8687" width="14.875" style="1" customWidth="1"/>
    <col min="8688" max="8689" width="0" style="1" hidden="1" customWidth="1"/>
    <col min="8690" max="8690" width="14.875" style="1" customWidth="1"/>
    <col min="8691" max="8692" width="0" style="1" hidden="1" customWidth="1"/>
    <col min="8693" max="8693" width="14.875" style="1" customWidth="1"/>
    <col min="8694" max="8695" width="0" style="1" hidden="1" customWidth="1"/>
    <col min="8696" max="8697" width="14.875" style="1" customWidth="1"/>
    <col min="8698" max="8698" width="44.375" style="1" customWidth="1"/>
    <col min="8699" max="8703" width="14.875" style="1" customWidth="1"/>
    <col min="8704" max="8704" width="63.875" style="1" customWidth="1"/>
    <col min="8705" max="8705" width="13.25" style="1" customWidth="1"/>
    <col min="8706" max="8891" width="9" style="1"/>
    <col min="8892" max="8893" width="0" style="1" hidden="1" customWidth="1"/>
    <col min="8894" max="8894" width="13.75" style="1" customWidth="1"/>
    <col min="8895" max="8895" width="52.875" style="1" customWidth="1"/>
    <col min="8896" max="8935" width="0" style="1" hidden="1" customWidth="1"/>
    <col min="8936" max="8937" width="14.875" style="1" customWidth="1"/>
    <col min="8938" max="8939" width="0" style="1" hidden="1" customWidth="1"/>
    <col min="8940" max="8940" width="14.875" style="1" customWidth="1"/>
    <col min="8941" max="8942" width="0" style="1" hidden="1" customWidth="1"/>
    <col min="8943" max="8943" width="14.875" style="1" customWidth="1"/>
    <col min="8944" max="8945" width="0" style="1" hidden="1" customWidth="1"/>
    <col min="8946" max="8946" width="14.875" style="1" customWidth="1"/>
    <col min="8947" max="8948" width="0" style="1" hidden="1" customWidth="1"/>
    <col min="8949" max="8949" width="14.875" style="1" customWidth="1"/>
    <col min="8950" max="8951" width="0" style="1" hidden="1" customWidth="1"/>
    <col min="8952" max="8953" width="14.875" style="1" customWidth="1"/>
    <col min="8954" max="8954" width="44.375" style="1" customWidth="1"/>
    <col min="8955" max="8959" width="14.875" style="1" customWidth="1"/>
    <col min="8960" max="8960" width="63.875" style="1" customWidth="1"/>
    <col min="8961" max="8961" width="13.25" style="1" customWidth="1"/>
    <col min="8962" max="9147" width="9" style="1"/>
    <col min="9148" max="9149" width="0" style="1" hidden="1" customWidth="1"/>
    <col min="9150" max="9150" width="13.75" style="1" customWidth="1"/>
    <col min="9151" max="9151" width="52.875" style="1" customWidth="1"/>
    <col min="9152" max="9191" width="0" style="1" hidden="1" customWidth="1"/>
    <col min="9192" max="9193" width="14.875" style="1" customWidth="1"/>
    <col min="9194" max="9195" width="0" style="1" hidden="1" customWidth="1"/>
    <col min="9196" max="9196" width="14.875" style="1" customWidth="1"/>
    <col min="9197" max="9198" width="0" style="1" hidden="1" customWidth="1"/>
    <col min="9199" max="9199" width="14.875" style="1" customWidth="1"/>
    <col min="9200" max="9201" width="0" style="1" hidden="1" customWidth="1"/>
    <col min="9202" max="9202" width="14.875" style="1" customWidth="1"/>
    <col min="9203" max="9204" width="0" style="1" hidden="1" customWidth="1"/>
    <col min="9205" max="9205" width="14.875" style="1" customWidth="1"/>
    <col min="9206" max="9207" width="0" style="1" hidden="1" customWidth="1"/>
    <col min="9208" max="9209" width="14.875" style="1" customWidth="1"/>
    <col min="9210" max="9210" width="44.375" style="1" customWidth="1"/>
    <col min="9211" max="9215" width="14.875" style="1" customWidth="1"/>
    <col min="9216" max="9216" width="63.875" style="1" customWidth="1"/>
    <col min="9217" max="9217" width="13.25" style="1" customWidth="1"/>
    <col min="9218" max="9403" width="9" style="1"/>
    <col min="9404" max="9405" width="0" style="1" hidden="1" customWidth="1"/>
    <col min="9406" max="9406" width="13.75" style="1" customWidth="1"/>
    <col min="9407" max="9407" width="52.875" style="1" customWidth="1"/>
    <col min="9408" max="9447" width="0" style="1" hidden="1" customWidth="1"/>
    <col min="9448" max="9449" width="14.875" style="1" customWidth="1"/>
    <col min="9450" max="9451" width="0" style="1" hidden="1" customWidth="1"/>
    <col min="9452" max="9452" width="14.875" style="1" customWidth="1"/>
    <col min="9453" max="9454" width="0" style="1" hidden="1" customWidth="1"/>
    <col min="9455" max="9455" width="14.875" style="1" customWidth="1"/>
    <col min="9456" max="9457" width="0" style="1" hidden="1" customWidth="1"/>
    <col min="9458" max="9458" width="14.875" style="1" customWidth="1"/>
    <col min="9459" max="9460" width="0" style="1" hidden="1" customWidth="1"/>
    <col min="9461" max="9461" width="14.875" style="1" customWidth="1"/>
    <col min="9462" max="9463" width="0" style="1" hidden="1" customWidth="1"/>
    <col min="9464" max="9465" width="14.875" style="1" customWidth="1"/>
    <col min="9466" max="9466" width="44.375" style="1" customWidth="1"/>
    <col min="9467" max="9471" width="14.875" style="1" customWidth="1"/>
    <col min="9472" max="9472" width="63.875" style="1" customWidth="1"/>
    <col min="9473" max="9473" width="13.25" style="1" customWidth="1"/>
    <col min="9474" max="9659" width="9" style="1"/>
    <col min="9660" max="9661" width="0" style="1" hidden="1" customWidth="1"/>
    <col min="9662" max="9662" width="13.75" style="1" customWidth="1"/>
    <col min="9663" max="9663" width="52.875" style="1" customWidth="1"/>
    <col min="9664" max="9703" width="0" style="1" hidden="1" customWidth="1"/>
    <col min="9704" max="9705" width="14.875" style="1" customWidth="1"/>
    <col min="9706" max="9707" width="0" style="1" hidden="1" customWidth="1"/>
    <col min="9708" max="9708" width="14.875" style="1" customWidth="1"/>
    <col min="9709" max="9710" width="0" style="1" hidden="1" customWidth="1"/>
    <col min="9711" max="9711" width="14.875" style="1" customWidth="1"/>
    <col min="9712" max="9713" width="0" style="1" hidden="1" customWidth="1"/>
    <col min="9714" max="9714" width="14.875" style="1" customWidth="1"/>
    <col min="9715" max="9716" width="0" style="1" hidden="1" customWidth="1"/>
    <col min="9717" max="9717" width="14.875" style="1" customWidth="1"/>
    <col min="9718" max="9719" width="0" style="1" hidden="1" customWidth="1"/>
    <col min="9720" max="9721" width="14.875" style="1" customWidth="1"/>
    <col min="9722" max="9722" width="44.375" style="1" customWidth="1"/>
    <col min="9723" max="9727" width="14.875" style="1" customWidth="1"/>
    <col min="9728" max="9728" width="63.875" style="1" customWidth="1"/>
    <col min="9729" max="9729" width="13.25" style="1" customWidth="1"/>
    <col min="9730" max="9915" width="9" style="1"/>
    <col min="9916" max="9917" width="0" style="1" hidden="1" customWidth="1"/>
    <col min="9918" max="9918" width="13.75" style="1" customWidth="1"/>
    <col min="9919" max="9919" width="52.875" style="1" customWidth="1"/>
    <col min="9920" max="9959" width="0" style="1" hidden="1" customWidth="1"/>
    <col min="9960" max="9961" width="14.875" style="1" customWidth="1"/>
    <col min="9962" max="9963" width="0" style="1" hidden="1" customWidth="1"/>
    <col min="9964" max="9964" width="14.875" style="1" customWidth="1"/>
    <col min="9965" max="9966" width="0" style="1" hidden="1" customWidth="1"/>
    <col min="9967" max="9967" width="14.875" style="1" customWidth="1"/>
    <col min="9968" max="9969" width="0" style="1" hidden="1" customWidth="1"/>
    <col min="9970" max="9970" width="14.875" style="1" customWidth="1"/>
    <col min="9971" max="9972" width="0" style="1" hidden="1" customWidth="1"/>
    <col min="9973" max="9973" width="14.875" style="1" customWidth="1"/>
    <col min="9974" max="9975" width="0" style="1" hidden="1" customWidth="1"/>
    <col min="9976" max="9977" width="14.875" style="1" customWidth="1"/>
    <col min="9978" max="9978" width="44.375" style="1" customWidth="1"/>
    <col min="9979" max="9983" width="14.875" style="1" customWidth="1"/>
    <col min="9984" max="9984" width="63.875" style="1" customWidth="1"/>
    <col min="9985" max="9985" width="13.25" style="1" customWidth="1"/>
    <col min="9986" max="10171" width="9" style="1"/>
    <col min="10172" max="10173" width="0" style="1" hidden="1" customWidth="1"/>
    <col min="10174" max="10174" width="13.75" style="1" customWidth="1"/>
    <col min="10175" max="10175" width="52.875" style="1" customWidth="1"/>
    <col min="10176" max="10215" width="0" style="1" hidden="1" customWidth="1"/>
    <col min="10216" max="10217" width="14.875" style="1" customWidth="1"/>
    <col min="10218" max="10219" width="0" style="1" hidden="1" customWidth="1"/>
    <col min="10220" max="10220" width="14.875" style="1" customWidth="1"/>
    <col min="10221" max="10222" width="0" style="1" hidden="1" customWidth="1"/>
    <col min="10223" max="10223" width="14.875" style="1" customWidth="1"/>
    <col min="10224" max="10225" width="0" style="1" hidden="1" customWidth="1"/>
    <col min="10226" max="10226" width="14.875" style="1" customWidth="1"/>
    <col min="10227" max="10228" width="0" style="1" hidden="1" customWidth="1"/>
    <col min="10229" max="10229" width="14.875" style="1" customWidth="1"/>
    <col min="10230" max="10231" width="0" style="1" hidden="1" customWidth="1"/>
    <col min="10232" max="10233" width="14.875" style="1" customWidth="1"/>
    <col min="10234" max="10234" width="44.375" style="1" customWidth="1"/>
    <col min="10235" max="10239" width="14.875" style="1" customWidth="1"/>
    <col min="10240" max="10240" width="63.875" style="1" customWidth="1"/>
    <col min="10241" max="10241" width="13.25" style="1" customWidth="1"/>
    <col min="10242" max="10427" width="9" style="1"/>
    <col min="10428" max="10429" width="0" style="1" hidden="1" customWidth="1"/>
    <col min="10430" max="10430" width="13.75" style="1" customWidth="1"/>
    <col min="10431" max="10431" width="52.875" style="1" customWidth="1"/>
    <col min="10432" max="10471" width="0" style="1" hidden="1" customWidth="1"/>
    <col min="10472" max="10473" width="14.875" style="1" customWidth="1"/>
    <col min="10474" max="10475" width="0" style="1" hidden="1" customWidth="1"/>
    <col min="10476" max="10476" width="14.875" style="1" customWidth="1"/>
    <col min="10477" max="10478" width="0" style="1" hidden="1" customWidth="1"/>
    <col min="10479" max="10479" width="14.875" style="1" customWidth="1"/>
    <col min="10480" max="10481" width="0" style="1" hidden="1" customWidth="1"/>
    <col min="10482" max="10482" width="14.875" style="1" customWidth="1"/>
    <col min="10483" max="10484" width="0" style="1" hidden="1" customWidth="1"/>
    <col min="10485" max="10485" width="14.875" style="1" customWidth="1"/>
    <col min="10486" max="10487" width="0" style="1" hidden="1" customWidth="1"/>
    <col min="10488" max="10489" width="14.875" style="1" customWidth="1"/>
    <col min="10490" max="10490" width="44.375" style="1" customWidth="1"/>
    <col min="10491" max="10495" width="14.875" style="1" customWidth="1"/>
    <col min="10496" max="10496" width="63.875" style="1" customWidth="1"/>
    <col min="10497" max="10497" width="13.25" style="1" customWidth="1"/>
    <col min="10498" max="10683" width="9" style="1"/>
    <col min="10684" max="10685" width="0" style="1" hidden="1" customWidth="1"/>
    <col min="10686" max="10686" width="13.75" style="1" customWidth="1"/>
    <col min="10687" max="10687" width="52.875" style="1" customWidth="1"/>
    <col min="10688" max="10727" width="0" style="1" hidden="1" customWidth="1"/>
    <col min="10728" max="10729" width="14.875" style="1" customWidth="1"/>
    <col min="10730" max="10731" width="0" style="1" hidden="1" customWidth="1"/>
    <col min="10732" max="10732" width="14.875" style="1" customWidth="1"/>
    <col min="10733" max="10734" width="0" style="1" hidden="1" customWidth="1"/>
    <col min="10735" max="10735" width="14.875" style="1" customWidth="1"/>
    <col min="10736" max="10737" width="0" style="1" hidden="1" customWidth="1"/>
    <col min="10738" max="10738" width="14.875" style="1" customWidth="1"/>
    <col min="10739" max="10740" width="0" style="1" hidden="1" customWidth="1"/>
    <col min="10741" max="10741" width="14.875" style="1" customWidth="1"/>
    <col min="10742" max="10743" width="0" style="1" hidden="1" customWidth="1"/>
    <col min="10744" max="10745" width="14.875" style="1" customWidth="1"/>
    <col min="10746" max="10746" width="44.375" style="1" customWidth="1"/>
    <col min="10747" max="10751" width="14.875" style="1" customWidth="1"/>
    <col min="10752" max="10752" width="63.875" style="1" customWidth="1"/>
    <col min="10753" max="10753" width="13.25" style="1" customWidth="1"/>
    <col min="10754" max="10939" width="9" style="1"/>
    <col min="10940" max="10941" width="0" style="1" hidden="1" customWidth="1"/>
    <col min="10942" max="10942" width="13.75" style="1" customWidth="1"/>
    <col min="10943" max="10943" width="52.875" style="1" customWidth="1"/>
    <col min="10944" max="10983" width="0" style="1" hidden="1" customWidth="1"/>
    <col min="10984" max="10985" width="14.875" style="1" customWidth="1"/>
    <col min="10986" max="10987" width="0" style="1" hidden="1" customWidth="1"/>
    <col min="10988" max="10988" width="14.875" style="1" customWidth="1"/>
    <col min="10989" max="10990" width="0" style="1" hidden="1" customWidth="1"/>
    <col min="10991" max="10991" width="14.875" style="1" customWidth="1"/>
    <col min="10992" max="10993" width="0" style="1" hidden="1" customWidth="1"/>
    <col min="10994" max="10994" width="14.875" style="1" customWidth="1"/>
    <col min="10995" max="10996" width="0" style="1" hidden="1" customWidth="1"/>
    <col min="10997" max="10997" width="14.875" style="1" customWidth="1"/>
    <col min="10998" max="10999" width="0" style="1" hidden="1" customWidth="1"/>
    <col min="11000" max="11001" width="14.875" style="1" customWidth="1"/>
    <col min="11002" max="11002" width="44.375" style="1" customWidth="1"/>
    <col min="11003" max="11007" width="14.875" style="1" customWidth="1"/>
    <col min="11008" max="11008" width="63.875" style="1" customWidth="1"/>
    <col min="11009" max="11009" width="13.25" style="1" customWidth="1"/>
    <col min="11010" max="11195" width="9" style="1"/>
    <col min="11196" max="11197" width="0" style="1" hidden="1" customWidth="1"/>
    <col min="11198" max="11198" width="13.75" style="1" customWidth="1"/>
    <col min="11199" max="11199" width="52.875" style="1" customWidth="1"/>
    <col min="11200" max="11239" width="0" style="1" hidden="1" customWidth="1"/>
    <col min="11240" max="11241" width="14.875" style="1" customWidth="1"/>
    <col min="11242" max="11243" width="0" style="1" hidden="1" customWidth="1"/>
    <col min="11244" max="11244" width="14.875" style="1" customWidth="1"/>
    <col min="11245" max="11246" width="0" style="1" hidden="1" customWidth="1"/>
    <col min="11247" max="11247" width="14.875" style="1" customWidth="1"/>
    <col min="11248" max="11249" width="0" style="1" hidden="1" customWidth="1"/>
    <col min="11250" max="11250" width="14.875" style="1" customWidth="1"/>
    <col min="11251" max="11252" width="0" style="1" hidden="1" customWidth="1"/>
    <col min="11253" max="11253" width="14.875" style="1" customWidth="1"/>
    <col min="11254" max="11255" width="0" style="1" hidden="1" customWidth="1"/>
    <col min="11256" max="11257" width="14.875" style="1" customWidth="1"/>
    <col min="11258" max="11258" width="44.375" style="1" customWidth="1"/>
    <col min="11259" max="11263" width="14.875" style="1" customWidth="1"/>
    <col min="11264" max="11264" width="63.875" style="1" customWidth="1"/>
    <col min="11265" max="11265" width="13.25" style="1" customWidth="1"/>
    <col min="11266" max="11451" width="9" style="1"/>
    <col min="11452" max="11453" width="0" style="1" hidden="1" customWidth="1"/>
    <col min="11454" max="11454" width="13.75" style="1" customWidth="1"/>
    <col min="11455" max="11455" width="52.875" style="1" customWidth="1"/>
    <col min="11456" max="11495" width="0" style="1" hidden="1" customWidth="1"/>
    <col min="11496" max="11497" width="14.875" style="1" customWidth="1"/>
    <col min="11498" max="11499" width="0" style="1" hidden="1" customWidth="1"/>
    <col min="11500" max="11500" width="14.875" style="1" customWidth="1"/>
    <col min="11501" max="11502" width="0" style="1" hidden="1" customWidth="1"/>
    <col min="11503" max="11503" width="14.875" style="1" customWidth="1"/>
    <col min="11504" max="11505" width="0" style="1" hidden="1" customWidth="1"/>
    <col min="11506" max="11506" width="14.875" style="1" customWidth="1"/>
    <col min="11507" max="11508" width="0" style="1" hidden="1" customWidth="1"/>
    <col min="11509" max="11509" width="14.875" style="1" customWidth="1"/>
    <col min="11510" max="11511" width="0" style="1" hidden="1" customWidth="1"/>
    <col min="11512" max="11513" width="14.875" style="1" customWidth="1"/>
    <col min="11514" max="11514" width="44.375" style="1" customWidth="1"/>
    <col min="11515" max="11519" width="14.875" style="1" customWidth="1"/>
    <col min="11520" max="11520" width="63.875" style="1" customWidth="1"/>
    <col min="11521" max="11521" width="13.25" style="1" customWidth="1"/>
    <col min="11522" max="11707" width="9" style="1"/>
    <col min="11708" max="11709" width="0" style="1" hidden="1" customWidth="1"/>
    <col min="11710" max="11710" width="13.75" style="1" customWidth="1"/>
    <col min="11711" max="11711" width="52.875" style="1" customWidth="1"/>
    <col min="11712" max="11751" width="0" style="1" hidden="1" customWidth="1"/>
    <col min="11752" max="11753" width="14.875" style="1" customWidth="1"/>
    <col min="11754" max="11755" width="0" style="1" hidden="1" customWidth="1"/>
    <col min="11756" max="11756" width="14.875" style="1" customWidth="1"/>
    <col min="11757" max="11758" width="0" style="1" hidden="1" customWidth="1"/>
    <col min="11759" max="11759" width="14.875" style="1" customWidth="1"/>
    <col min="11760" max="11761" width="0" style="1" hidden="1" customWidth="1"/>
    <col min="11762" max="11762" width="14.875" style="1" customWidth="1"/>
    <col min="11763" max="11764" width="0" style="1" hidden="1" customWidth="1"/>
    <col min="11765" max="11765" width="14.875" style="1" customWidth="1"/>
    <col min="11766" max="11767" width="0" style="1" hidden="1" customWidth="1"/>
    <col min="11768" max="11769" width="14.875" style="1" customWidth="1"/>
    <col min="11770" max="11770" width="44.375" style="1" customWidth="1"/>
    <col min="11771" max="11775" width="14.875" style="1" customWidth="1"/>
    <col min="11776" max="11776" width="63.875" style="1" customWidth="1"/>
    <col min="11777" max="11777" width="13.25" style="1" customWidth="1"/>
    <col min="11778" max="11963" width="9" style="1"/>
    <col min="11964" max="11965" width="0" style="1" hidden="1" customWidth="1"/>
    <col min="11966" max="11966" width="13.75" style="1" customWidth="1"/>
    <col min="11967" max="11967" width="52.875" style="1" customWidth="1"/>
    <col min="11968" max="12007" width="0" style="1" hidden="1" customWidth="1"/>
    <col min="12008" max="12009" width="14.875" style="1" customWidth="1"/>
    <col min="12010" max="12011" width="0" style="1" hidden="1" customWidth="1"/>
    <col min="12012" max="12012" width="14.875" style="1" customWidth="1"/>
    <col min="12013" max="12014" width="0" style="1" hidden="1" customWidth="1"/>
    <col min="12015" max="12015" width="14.875" style="1" customWidth="1"/>
    <col min="12016" max="12017" width="0" style="1" hidden="1" customWidth="1"/>
    <col min="12018" max="12018" width="14.875" style="1" customWidth="1"/>
    <col min="12019" max="12020" width="0" style="1" hidden="1" customWidth="1"/>
    <col min="12021" max="12021" width="14.875" style="1" customWidth="1"/>
    <col min="12022" max="12023" width="0" style="1" hidden="1" customWidth="1"/>
    <col min="12024" max="12025" width="14.875" style="1" customWidth="1"/>
    <col min="12026" max="12026" width="44.375" style="1" customWidth="1"/>
    <col min="12027" max="12031" width="14.875" style="1" customWidth="1"/>
    <col min="12032" max="12032" width="63.875" style="1" customWidth="1"/>
    <col min="12033" max="12033" width="13.25" style="1" customWidth="1"/>
    <col min="12034" max="12219" width="9" style="1"/>
    <col min="12220" max="12221" width="0" style="1" hidden="1" customWidth="1"/>
    <col min="12222" max="12222" width="13.75" style="1" customWidth="1"/>
    <col min="12223" max="12223" width="52.875" style="1" customWidth="1"/>
    <col min="12224" max="12263" width="0" style="1" hidden="1" customWidth="1"/>
    <col min="12264" max="12265" width="14.875" style="1" customWidth="1"/>
    <col min="12266" max="12267" width="0" style="1" hidden="1" customWidth="1"/>
    <col min="12268" max="12268" width="14.875" style="1" customWidth="1"/>
    <col min="12269" max="12270" width="0" style="1" hidden="1" customWidth="1"/>
    <col min="12271" max="12271" width="14.875" style="1" customWidth="1"/>
    <col min="12272" max="12273" width="0" style="1" hidden="1" customWidth="1"/>
    <col min="12274" max="12274" width="14.875" style="1" customWidth="1"/>
    <col min="12275" max="12276" width="0" style="1" hidden="1" customWidth="1"/>
    <col min="12277" max="12277" width="14.875" style="1" customWidth="1"/>
    <col min="12278" max="12279" width="0" style="1" hidden="1" customWidth="1"/>
    <col min="12280" max="12281" width="14.875" style="1" customWidth="1"/>
    <col min="12282" max="12282" width="44.375" style="1" customWidth="1"/>
    <col min="12283" max="12287" width="14.875" style="1" customWidth="1"/>
    <col min="12288" max="12288" width="63.875" style="1" customWidth="1"/>
    <col min="12289" max="12289" width="13.25" style="1" customWidth="1"/>
    <col min="12290" max="12475" width="9" style="1"/>
    <col min="12476" max="12477" width="0" style="1" hidden="1" customWidth="1"/>
    <col min="12478" max="12478" width="13.75" style="1" customWidth="1"/>
    <col min="12479" max="12479" width="52.875" style="1" customWidth="1"/>
    <col min="12480" max="12519" width="0" style="1" hidden="1" customWidth="1"/>
    <col min="12520" max="12521" width="14.875" style="1" customWidth="1"/>
    <col min="12522" max="12523" width="0" style="1" hidden="1" customWidth="1"/>
    <col min="12524" max="12524" width="14.875" style="1" customWidth="1"/>
    <col min="12525" max="12526" width="0" style="1" hidden="1" customWidth="1"/>
    <col min="12527" max="12527" width="14.875" style="1" customWidth="1"/>
    <col min="12528" max="12529" width="0" style="1" hidden="1" customWidth="1"/>
    <col min="12530" max="12530" width="14.875" style="1" customWidth="1"/>
    <col min="12531" max="12532" width="0" style="1" hidden="1" customWidth="1"/>
    <col min="12533" max="12533" width="14.875" style="1" customWidth="1"/>
    <col min="12534" max="12535" width="0" style="1" hidden="1" customWidth="1"/>
    <col min="12536" max="12537" width="14.875" style="1" customWidth="1"/>
    <col min="12538" max="12538" width="44.375" style="1" customWidth="1"/>
    <col min="12539" max="12543" width="14.875" style="1" customWidth="1"/>
    <col min="12544" max="12544" width="63.875" style="1" customWidth="1"/>
    <col min="12545" max="12545" width="13.25" style="1" customWidth="1"/>
    <col min="12546" max="12731" width="9" style="1"/>
    <col min="12732" max="12733" width="0" style="1" hidden="1" customWidth="1"/>
    <col min="12734" max="12734" width="13.75" style="1" customWidth="1"/>
    <col min="12735" max="12735" width="52.875" style="1" customWidth="1"/>
    <col min="12736" max="12775" width="0" style="1" hidden="1" customWidth="1"/>
    <col min="12776" max="12777" width="14.875" style="1" customWidth="1"/>
    <col min="12778" max="12779" width="0" style="1" hidden="1" customWidth="1"/>
    <col min="12780" max="12780" width="14.875" style="1" customWidth="1"/>
    <col min="12781" max="12782" width="0" style="1" hidden="1" customWidth="1"/>
    <col min="12783" max="12783" width="14.875" style="1" customWidth="1"/>
    <col min="12784" max="12785" width="0" style="1" hidden="1" customWidth="1"/>
    <col min="12786" max="12786" width="14.875" style="1" customWidth="1"/>
    <col min="12787" max="12788" width="0" style="1" hidden="1" customWidth="1"/>
    <col min="12789" max="12789" width="14.875" style="1" customWidth="1"/>
    <col min="12790" max="12791" width="0" style="1" hidden="1" customWidth="1"/>
    <col min="12792" max="12793" width="14.875" style="1" customWidth="1"/>
    <col min="12794" max="12794" width="44.375" style="1" customWidth="1"/>
    <col min="12795" max="12799" width="14.875" style="1" customWidth="1"/>
    <col min="12800" max="12800" width="63.875" style="1" customWidth="1"/>
    <col min="12801" max="12801" width="13.25" style="1" customWidth="1"/>
    <col min="12802" max="12987" width="9" style="1"/>
    <col min="12988" max="12989" width="0" style="1" hidden="1" customWidth="1"/>
    <col min="12990" max="12990" width="13.75" style="1" customWidth="1"/>
    <col min="12991" max="12991" width="52.875" style="1" customWidth="1"/>
    <col min="12992" max="13031" width="0" style="1" hidden="1" customWidth="1"/>
    <col min="13032" max="13033" width="14.875" style="1" customWidth="1"/>
    <col min="13034" max="13035" width="0" style="1" hidden="1" customWidth="1"/>
    <col min="13036" max="13036" width="14.875" style="1" customWidth="1"/>
    <col min="13037" max="13038" width="0" style="1" hidden="1" customWidth="1"/>
    <col min="13039" max="13039" width="14.875" style="1" customWidth="1"/>
    <col min="13040" max="13041" width="0" style="1" hidden="1" customWidth="1"/>
    <col min="13042" max="13042" width="14.875" style="1" customWidth="1"/>
    <col min="13043" max="13044" width="0" style="1" hidden="1" customWidth="1"/>
    <col min="13045" max="13045" width="14.875" style="1" customWidth="1"/>
    <col min="13046" max="13047" width="0" style="1" hidden="1" customWidth="1"/>
    <col min="13048" max="13049" width="14.875" style="1" customWidth="1"/>
    <col min="13050" max="13050" width="44.375" style="1" customWidth="1"/>
    <col min="13051" max="13055" width="14.875" style="1" customWidth="1"/>
    <col min="13056" max="13056" width="63.875" style="1" customWidth="1"/>
    <col min="13057" max="13057" width="13.25" style="1" customWidth="1"/>
    <col min="13058" max="13243" width="9" style="1"/>
    <col min="13244" max="13245" width="0" style="1" hidden="1" customWidth="1"/>
    <col min="13246" max="13246" width="13.75" style="1" customWidth="1"/>
    <col min="13247" max="13247" width="52.875" style="1" customWidth="1"/>
    <col min="13248" max="13287" width="0" style="1" hidden="1" customWidth="1"/>
    <col min="13288" max="13289" width="14.875" style="1" customWidth="1"/>
    <col min="13290" max="13291" width="0" style="1" hidden="1" customWidth="1"/>
    <col min="13292" max="13292" width="14.875" style="1" customWidth="1"/>
    <col min="13293" max="13294" width="0" style="1" hidden="1" customWidth="1"/>
    <col min="13295" max="13295" width="14.875" style="1" customWidth="1"/>
    <col min="13296" max="13297" width="0" style="1" hidden="1" customWidth="1"/>
    <col min="13298" max="13298" width="14.875" style="1" customWidth="1"/>
    <col min="13299" max="13300" width="0" style="1" hidden="1" customWidth="1"/>
    <col min="13301" max="13301" width="14.875" style="1" customWidth="1"/>
    <col min="13302" max="13303" width="0" style="1" hidden="1" customWidth="1"/>
    <col min="13304" max="13305" width="14.875" style="1" customWidth="1"/>
    <col min="13306" max="13306" width="44.375" style="1" customWidth="1"/>
    <col min="13307" max="13311" width="14.875" style="1" customWidth="1"/>
    <col min="13312" max="13312" width="63.875" style="1" customWidth="1"/>
    <col min="13313" max="13313" width="13.25" style="1" customWidth="1"/>
    <col min="13314" max="13499" width="9" style="1"/>
    <col min="13500" max="13501" width="0" style="1" hidden="1" customWidth="1"/>
    <col min="13502" max="13502" width="13.75" style="1" customWidth="1"/>
    <col min="13503" max="13503" width="52.875" style="1" customWidth="1"/>
    <col min="13504" max="13543" width="0" style="1" hidden="1" customWidth="1"/>
    <col min="13544" max="13545" width="14.875" style="1" customWidth="1"/>
    <col min="13546" max="13547" width="0" style="1" hidden="1" customWidth="1"/>
    <col min="13548" max="13548" width="14.875" style="1" customWidth="1"/>
    <col min="13549" max="13550" width="0" style="1" hidden="1" customWidth="1"/>
    <col min="13551" max="13551" width="14.875" style="1" customWidth="1"/>
    <col min="13552" max="13553" width="0" style="1" hidden="1" customWidth="1"/>
    <col min="13554" max="13554" width="14.875" style="1" customWidth="1"/>
    <col min="13555" max="13556" width="0" style="1" hidden="1" customWidth="1"/>
    <col min="13557" max="13557" width="14.875" style="1" customWidth="1"/>
    <col min="13558" max="13559" width="0" style="1" hidden="1" customWidth="1"/>
    <col min="13560" max="13561" width="14.875" style="1" customWidth="1"/>
    <col min="13562" max="13562" width="44.375" style="1" customWidth="1"/>
    <col min="13563" max="13567" width="14.875" style="1" customWidth="1"/>
    <col min="13568" max="13568" width="63.875" style="1" customWidth="1"/>
    <col min="13569" max="13569" width="13.25" style="1" customWidth="1"/>
    <col min="13570" max="13755" width="9" style="1"/>
    <col min="13756" max="13757" width="0" style="1" hidden="1" customWidth="1"/>
    <col min="13758" max="13758" width="13.75" style="1" customWidth="1"/>
    <col min="13759" max="13759" width="52.875" style="1" customWidth="1"/>
    <col min="13760" max="13799" width="0" style="1" hidden="1" customWidth="1"/>
    <col min="13800" max="13801" width="14.875" style="1" customWidth="1"/>
    <col min="13802" max="13803" width="0" style="1" hidden="1" customWidth="1"/>
    <col min="13804" max="13804" width="14.875" style="1" customWidth="1"/>
    <col min="13805" max="13806" width="0" style="1" hidden="1" customWidth="1"/>
    <col min="13807" max="13807" width="14.875" style="1" customWidth="1"/>
    <col min="13808" max="13809" width="0" style="1" hidden="1" customWidth="1"/>
    <col min="13810" max="13810" width="14.875" style="1" customWidth="1"/>
    <col min="13811" max="13812" width="0" style="1" hidden="1" customWidth="1"/>
    <col min="13813" max="13813" width="14.875" style="1" customWidth="1"/>
    <col min="13814" max="13815" width="0" style="1" hidden="1" customWidth="1"/>
    <col min="13816" max="13817" width="14.875" style="1" customWidth="1"/>
    <col min="13818" max="13818" width="44.375" style="1" customWidth="1"/>
    <col min="13819" max="13823" width="14.875" style="1" customWidth="1"/>
    <col min="13824" max="13824" width="63.875" style="1" customWidth="1"/>
    <col min="13825" max="13825" width="13.25" style="1" customWidth="1"/>
    <col min="13826" max="14011" width="9" style="1"/>
    <col min="14012" max="14013" width="0" style="1" hidden="1" customWidth="1"/>
    <col min="14014" max="14014" width="13.75" style="1" customWidth="1"/>
    <col min="14015" max="14015" width="52.875" style="1" customWidth="1"/>
    <col min="14016" max="14055" width="0" style="1" hidden="1" customWidth="1"/>
    <col min="14056" max="14057" width="14.875" style="1" customWidth="1"/>
    <col min="14058" max="14059" width="0" style="1" hidden="1" customWidth="1"/>
    <col min="14060" max="14060" width="14.875" style="1" customWidth="1"/>
    <col min="14061" max="14062" width="0" style="1" hidden="1" customWidth="1"/>
    <col min="14063" max="14063" width="14.875" style="1" customWidth="1"/>
    <col min="14064" max="14065" width="0" style="1" hidden="1" customWidth="1"/>
    <col min="14066" max="14066" width="14.875" style="1" customWidth="1"/>
    <col min="14067" max="14068" width="0" style="1" hidden="1" customWidth="1"/>
    <col min="14069" max="14069" width="14.875" style="1" customWidth="1"/>
    <col min="14070" max="14071" width="0" style="1" hidden="1" customWidth="1"/>
    <col min="14072" max="14073" width="14.875" style="1" customWidth="1"/>
    <col min="14074" max="14074" width="44.375" style="1" customWidth="1"/>
    <col min="14075" max="14079" width="14.875" style="1" customWidth="1"/>
    <col min="14080" max="14080" width="63.875" style="1" customWidth="1"/>
    <col min="14081" max="14081" width="13.25" style="1" customWidth="1"/>
    <col min="14082" max="14267" width="9" style="1"/>
    <col min="14268" max="14269" width="0" style="1" hidden="1" customWidth="1"/>
    <col min="14270" max="14270" width="13.75" style="1" customWidth="1"/>
    <col min="14271" max="14271" width="52.875" style="1" customWidth="1"/>
    <col min="14272" max="14311" width="0" style="1" hidden="1" customWidth="1"/>
    <col min="14312" max="14313" width="14.875" style="1" customWidth="1"/>
    <col min="14314" max="14315" width="0" style="1" hidden="1" customWidth="1"/>
    <col min="14316" max="14316" width="14.875" style="1" customWidth="1"/>
    <col min="14317" max="14318" width="0" style="1" hidden="1" customWidth="1"/>
    <col min="14319" max="14319" width="14.875" style="1" customWidth="1"/>
    <col min="14320" max="14321" width="0" style="1" hidden="1" customWidth="1"/>
    <col min="14322" max="14322" width="14.875" style="1" customWidth="1"/>
    <col min="14323" max="14324" width="0" style="1" hidden="1" customWidth="1"/>
    <col min="14325" max="14325" width="14.875" style="1" customWidth="1"/>
    <col min="14326" max="14327" width="0" style="1" hidden="1" customWidth="1"/>
    <col min="14328" max="14329" width="14.875" style="1" customWidth="1"/>
    <col min="14330" max="14330" width="44.375" style="1" customWidth="1"/>
    <col min="14331" max="14335" width="14.875" style="1" customWidth="1"/>
    <col min="14336" max="14336" width="63.875" style="1" customWidth="1"/>
    <col min="14337" max="14337" width="13.25" style="1" customWidth="1"/>
    <col min="14338" max="14523" width="9" style="1"/>
    <col min="14524" max="14525" width="0" style="1" hidden="1" customWidth="1"/>
    <col min="14526" max="14526" width="13.75" style="1" customWidth="1"/>
    <col min="14527" max="14527" width="52.875" style="1" customWidth="1"/>
    <col min="14528" max="14567" width="0" style="1" hidden="1" customWidth="1"/>
    <col min="14568" max="14569" width="14.875" style="1" customWidth="1"/>
    <col min="14570" max="14571" width="0" style="1" hidden="1" customWidth="1"/>
    <col min="14572" max="14572" width="14.875" style="1" customWidth="1"/>
    <col min="14573" max="14574" width="0" style="1" hidden="1" customWidth="1"/>
    <col min="14575" max="14575" width="14.875" style="1" customWidth="1"/>
    <col min="14576" max="14577" width="0" style="1" hidden="1" customWidth="1"/>
    <col min="14578" max="14578" width="14.875" style="1" customWidth="1"/>
    <col min="14579" max="14580" width="0" style="1" hidden="1" customWidth="1"/>
    <col min="14581" max="14581" width="14.875" style="1" customWidth="1"/>
    <col min="14582" max="14583" width="0" style="1" hidden="1" customWidth="1"/>
    <col min="14584" max="14585" width="14.875" style="1" customWidth="1"/>
    <col min="14586" max="14586" width="44.375" style="1" customWidth="1"/>
    <col min="14587" max="14591" width="14.875" style="1" customWidth="1"/>
    <col min="14592" max="14592" width="63.875" style="1" customWidth="1"/>
    <col min="14593" max="14593" width="13.25" style="1" customWidth="1"/>
    <col min="14594" max="14779" width="9" style="1"/>
    <col min="14780" max="14781" width="0" style="1" hidden="1" customWidth="1"/>
    <col min="14782" max="14782" width="13.75" style="1" customWidth="1"/>
    <col min="14783" max="14783" width="52.875" style="1" customWidth="1"/>
    <col min="14784" max="14823" width="0" style="1" hidden="1" customWidth="1"/>
    <col min="14824" max="14825" width="14.875" style="1" customWidth="1"/>
    <col min="14826" max="14827" width="0" style="1" hidden="1" customWidth="1"/>
    <col min="14828" max="14828" width="14.875" style="1" customWidth="1"/>
    <col min="14829" max="14830" width="0" style="1" hidden="1" customWidth="1"/>
    <col min="14831" max="14831" width="14.875" style="1" customWidth="1"/>
    <col min="14832" max="14833" width="0" style="1" hidden="1" customWidth="1"/>
    <col min="14834" max="14834" width="14.875" style="1" customWidth="1"/>
    <col min="14835" max="14836" width="0" style="1" hidden="1" customWidth="1"/>
    <col min="14837" max="14837" width="14.875" style="1" customWidth="1"/>
    <col min="14838" max="14839" width="0" style="1" hidden="1" customWidth="1"/>
    <col min="14840" max="14841" width="14.875" style="1" customWidth="1"/>
    <col min="14842" max="14842" width="44.375" style="1" customWidth="1"/>
    <col min="14843" max="14847" width="14.875" style="1" customWidth="1"/>
    <col min="14848" max="14848" width="63.875" style="1" customWidth="1"/>
    <col min="14849" max="14849" width="13.25" style="1" customWidth="1"/>
    <col min="14850" max="15035" width="9" style="1"/>
    <col min="15036" max="15037" width="0" style="1" hidden="1" customWidth="1"/>
    <col min="15038" max="15038" width="13.75" style="1" customWidth="1"/>
    <col min="15039" max="15039" width="52.875" style="1" customWidth="1"/>
    <col min="15040" max="15079" width="0" style="1" hidden="1" customWidth="1"/>
    <col min="15080" max="15081" width="14.875" style="1" customWidth="1"/>
    <col min="15082" max="15083" width="0" style="1" hidden="1" customWidth="1"/>
    <col min="15084" max="15084" width="14.875" style="1" customWidth="1"/>
    <col min="15085" max="15086" width="0" style="1" hidden="1" customWidth="1"/>
    <col min="15087" max="15087" width="14.875" style="1" customWidth="1"/>
    <col min="15088" max="15089" width="0" style="1" hidden="1" customWidth="1"/>
    <col min="15090" max="15090" width="14.875" style="1" customWidth="1"/>
    <col min="15091" max="15092" width="0" style="1" hidden="1" customWidth="1"/>
    <col min="15093" max="15093" width="14.875" style="1" customWidth="1"/>
    <col min="15094" max="15095" width="0" style="1" hidden="1" customWidth="1"/>
    <col min="15096" max="15097" width="14.875" style="1" customWidth="1"/>
    <col min="15098" max="15098" width="44.375" style="1" customWidth="1"/>
    <col min="15099" max="15103" width="14.875" style="1" customWidth="1"/>
    <col min="15104" max="15104" width="63.875" style="1" customWidth="1"/>
    <col min="15105" max="15105" width="13.25" style="1" customWidth="1"/>
    <col min="15106" max="15291" width="9" style="1"/>
    <col min="15292" max="15293" width="0" style="1" hidden="1" customWidth="1"/>
    <col min="15294" max="15294" width="13.75" style="1" customWidth="1"/>
    <col min="15295" max="15295" width="52.875" style="1" customWidth="1"/>
    <col min="15296" max="15335" width="0" style="1" hidden="1" customWidth="1"/>
    <col min="15336" max="15337" width="14.875" style="1" customWidth="1"/>
    <col min="15338" max="15339" width="0" style="1" hidden="1" customWidth="1"/>
    <col min="15340" max="15340" width="14.875" style="1" customWidth="1"/>
    <col min="15341" max="15342" width="0" style="1" hidden="1" customWidth="1"/>
    <col min="15343" max="15343" width="14.875" style="1" customWidth="1"/>
    <col min="15344" max="15345" width="0" style="1" hidden="1" customWidth="1"/>
    <col min="15346" max="15346" width="14.875" style="1" customWidth="1"/>
    <col min="15347" max="15348" width="0" style="1" hidden="1" customWidth="1"/>
    <col min="15349" max="15349" width="14.875" style="1" customWidth="1"/>
    <col min="15350" max="15351" width="0" style="1" hidden="1" customWidth="1"/>
    <col min="15352" max="15353" width="14.875" style="1" customWidth="1"/>
    <col min="15354" max="15354" width="44.375" style="1" customWidth="1"/>
    <col min="15355" max="15359" width="14.875" style="1" customWidth="1"/>
    <col min="15360" max="15360" width="63.875" style="1" customWidth="1"/>
    <col min="15361" max="15361" width="13.25" style="1" customWidth="1"/>
    <col min="15362" max="15547" width="9" style="1"/>
    <col min="15548" max="15549" width="0" style="1" hidden="1" customWidth="1"/>
    <col min="15550" max="15550" width="13.75" style="1" customWidth="1"/>
    <col min="15551" max="15551" width="52.875" style="1" customWidth="1"/>
    <col min="15552" max="15591" width="0" style="1" hidden="1" customWidth="1"/>
    <col min="15592" max="15593" width="14.875" style="1" customWidth="1"/>
    <col min="15594" max="15595" width="0" style="1" hidden="1" customWidth="1"/>
    <col min="15596" max="15596" width="14.875" style="1" customWidth="1"/>
    <col min="15597" max="15598" width="0" style="1" hidden="1" customWidth="1"/>
    <col min="15599" max="15599" width="14.875" style="1" customWidth="1"/>
    <col min="15600" max="15601" width="0" style="1" hidden="1" customWidth="1"/>
    <col min="15602" max="15602" width="14.875" style="1" customWidth="1"/>
    <col min="15603" max="15604" width="0" style="1" hidden="1" customWidth="1"/>
    <col min="15605" max="15605" width="14.875" style="1" customWidth="1"/>
    <col min="15606" max="15607" width="0" style="1" hidden="1" customWidth="1"/>
    <col min="15608" max="15609" width="14.875" style="1" customWidth="1"/>
    <col min="15610" max="15610" width="44.375" style="1" customWidth="1"/>
    <col min="15611" max="15615" width="14.875" style="1" customWidth="1"/>
    <col min="15616" max="15616" width="63.875" style="1" customWidth="1"/>
    <col min="15617" max="15617" width="13.25" style="1" customWidth="1"/>
    <col min="15618" max="15803" width="9" style="1"/>
    <col min="15804" max="15805" width="0" style="1" hidden="1" customWidth="1"/>
    <col min="15806" max="15806" width="13.75" style="1" customWidth="1"/>
    <col min="15807" max="15807" width="52.875" style="1" customWidth="1"/>
    <col min="15808" max="15847" width="0" style="1" hidden="1" customWidth="1"/>
    <col min="15848" max="15849" width="14.875" style="1" customWidth="1"/>
    <col min="15850" max="15851" width="0" style="1" hidden="1" customWidth="1"/>
    <col min="15852" max="15852" width="14.875" style="1" customWidth="1"/>
    <col min="15853" max="15854" width="0" style="1" hidden="1" customWidth="1"/>
    <col min="15855" max="15855" width="14.875" style="1" customWidth="1"/>
    <col min="15856" max="15857" width="0" style="1" hidden="1" customWidth="1"/>
    <col min="15858" max="15858" width="14.875" style="1" customWidth="1"/>
    <col min="15859" max="15860" width="0" style="1" hidden="1" customWidth="1"/>
    <col min="15861" max="15861" width="14.875" style="1" customWidth="1"/>
    <col min="15862" max="15863" width="0" style="1" hidden="1" customWidth="1"/>
    <col min="15864" max="15865" width="14.875" style="1" customWidth="1"/>
    <col min="15866" max="15866" width="44.375" style="1" customWidth="1"/>
    <col min="15867" max="15871" width="14.875" style="1" customWidth="1"/>
    <col min="15872" max="15872" width="63.875" style="1" customWidth="1"/>
    <col min="15873" max="15873" width="13.25" style="1" customWidth="1"/>
    <col min="15874" max="16059" width="9" style="1"/>
    <col min="16060" max="16061" width="0" style="1" hidden="1" customWidth="1"/>
    <col min="16062" max="16062" width="13.75" style="1" customWidth="1"/>
    <col min="16063" max="16063" width="52.875" style="1" customWidth="1"/>
    <col min="16064" max="16103" width="0" style="1" hidden="1" customWidth="1"/>
    <col min="16104" max="16105" width="14.875" style="1" customWidth="1"/>
    <col min="16106" max="16107" width="0" style="1" hidden="1" customWidth="1"/>
    <col min="16108" max="16108" width="14.875" style="1" customWidth="1"/>
    <col min="16109" max="16110" width="0" style="1" hidden="1" customWidth="1"/>
    <col min="16111" max="16111" width="14.875" style="1" customWidth="1"/>
    <col min="16112" max="16113" width="0" style="1" hidden="1" customWidth="1"/>
    <col min="16114" max="16114" width="14.875" style="1" customWidth="1"/>
    <col min="16115" max="16116" width="0" style="1" hidden="1" customWidth="1"/>
    <col min="16117" max="16117" width="14.875" style="1" customWidth="1"/>
    <col min="16118" max="16119" width="0" style="1" hidden="1" customWidth="1"/>
    <col min="16120" max="16121" width="14.875" style="1" customWidth="1"/>
    <col min="16122" max="16122" width="44.375" style="1" customWidth="1"/>
    <col min="16123" max="16127" width="14.875" style="1" customWidth="1"/>
    <col min="16128" max="16128" width="63.875" style="1" customWidth="1"/>
    <col min="16129" max="16129" width="13.25" style="1" customWidth="1"/>
    <col min="16130" max="16328" width="9" style="1"/>
    <col min="16329" max="16361" width="9.125" style="1" customWidth="1"/>
    <col min="16362" max="16376" width="9" style="1"/>
    <col min="16377" max="16384" width="9.125" style="1" customWidth="1"/>
  </cols>
  <sheetData>
    <row r="1" spans="1:16" ht="24.6" outlineLevel="1" x14ac:dyDescent="0.4">
      <c r="C1" s="609" t="s">
        <v>0</v>
      </c>
      <c r="D1" s="609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4"/>
    </row>
    <row r="2" spans="1:16" ht="24.6" outlineLevel="1" x14ac:dyDescent="0.4">
      <c r="C2" s="616" t="s">
        <v>1</v>
      </c>
      <c r="D2" s="616"/>
      <c r="E2" s="3"/>
      <c r="F2" s="3"/>
      <c r="G2" s="3"/>
      <c r="H2" s="3"/>
      <c r="I2" s="2"/>
      <c r="J2" s="2"/>
      <c r="K2" s="3"/>
      <c r="L2" s="3"/>
      <c r="M2" s="3"/>
      <c r="N2" s="3"/>
      <c r="O2" s="3"/>
      <c r="P2" s="5"/>
    </row>
    <row r="3" spans="1:16" ht="20.399999999999999" outlineLevel="1" x14ac:dyDescent="0.35">
      <c r="C3" s="617" t="s">
        <v>2</v>
      </c>
      <c r="D3" s="617"/>
      <c r="E3" s="6"/>
      <c r="F3" s="6"/>
      <c r="G3" s="6"/>
      <c r="H3" s="3"/>
      <c r="I3" s="2"/>
      <c r="J3" s="2"/>
      <c r="K3" s="6">
        <f>K23-[4]PIVOT_2023!H16</f>
        <v>0</v>
      </c>
      <c r="L3" s="6"/>
      <c r="M3" s="6"/>
      <c r="N3" s="6"/>
      <c r="O3" s="6"/>
    </row>
    <row r="4" spans="1:16" ht="14.4" outlineLevel="1" thickBot="1" x14ac:dyDescent="0.3">
      <c r="C4" s="610"/>
      <c r="E4" s="7"/>
      <c r="F4" s="7"/>
      <c r="G4" s="6"/>
      <c r="H4" s="3"/>
      <c r="I4" s="2"/>
      <c r="J4" s="2"/>
      <c r="K4" s="7"/>
      <c r="L4" s="8"/>
      <c r="M4" s="8"/>
      <c r="N4" s="8"/>
      <c r="O4" s="7"/>
    </row>
    <row r="5" spans="1:16" ht="51.6" customHeight="1" thickBot="1" x14ac:dyDescent="0.3">
      <c r="C5" s="9" t="s">
        <v>3</v>
      </c>
      <c r="D5" s="10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12</v>
      </c>
      <c r="N5" s="11" t="s">
        <v>1018</v>
      </c>
      <c r="O5" s="11" t="s">
        <v>1019</v>
      </c>
      <c r="P5" s="12" t="s">
        <v>13</v>
      </c>
    </row>
    <row r="6" spans="1:16" x14ac:dyDescent="0.25">
      <c r="C6" s="13" t="s">
        <v>14</v>
      </c>
      <c r="D6" s="14" t="s">
        <v>15</v>
      </c>
      <c r="E6" s="15">
        <v>190002</v>
      </c>
      <c r="F6" s="15">
        <f t="shared" ref="F6:N6" si="0">ROUND((F7+F11+F14+F17+F20),0)</f>
        <v>70000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31344871</v>
      </c>
      <c r="L6" s="15">
        <f t="shared" si="0"/>
        <v>31414871</v>
      </c>
      <c r="M6" s="15">
        <f t="shared" si="0"/>
        <v>31414871</v>
      </c>
      <c r="N6" s="15">
        <f t="shared" si="0"/>
        <v>31414871</v>
      </c>
      <c r="O6" s="16">
        <f>N6-M6</f>
        <v>0</v>
      </c>
      <c r="P6" s="17"/>
    </row>
    <row r="7" spans="1:16" x14ac:dyDescent="0.25">
      <c r="B7" s="1" t="s">
        <v>16</v>
      </c>
      <c r="C7" s="19" t="s">
        <v>17</v>
      </c>
      <c r="D7" s="20" t="s">
        <v>18</v>
      </c>
      <c r="E7" s="21">
        <v>0</v>
      </c>
      <c r="F7" s="21">
        <f t="shared" ref="F7:K7" si="1">SUM(F8:F9)</f>
        <v>0</v>
      </c>
      <c r="G7" s="21">
        <f t="shared" si="1"/>
        <v>0</v>
      </c>
      <c r="H7" s="21">
        <f t="shared" si="1"/>
        <v>0</v>
      </c>
      <c r="I7" s="21">
        <f>SUM(I8:I9)</f>
        <v>0</v>
      </c>
      <c r="J7" s="21">
        <f t="shared" si="1"/>
        <v>0</v>
      </c>
      <c r="K7" s="21">
        <f t="shared" si="1"/>
        <v>28441559</v>
      </c>
      <c r="L7" s="21">
        <f>SUM(L8:L9)</f>
        <v>28441559</v>
      </c>
      <c r="M7" s="21">
        <f>SUM(M8:M9)</f>
        <v>28441559</v>
      </c>
      <c r="N7" s="21">
        <f>SUM(N8:N9)</f>
        <v>28441559</v>
      </c>
      <c r="O7" s="21">
        <f t="shared" ref="O7:O70" si="2">N7-M7</f>
        <v>0</v>
      </c>
      <c r="P7" s="22"/>
    </row>
    <row r="8" spans="1:16" x14ac:dyDescent="0.25">
      <c r="A8" s="1" t="s">
        <v>19</v>
      </c>
      <c r="B8" s="1" t="s">
        <v>20</v>
      </c>
      <c r="C8" s="23" t="s">
        <v>21</v>
      </c>
      <c r="D8" s="24" t="s">
        <v>22</v>
      </c>
      <c r="E8" s="25"/>
      <c r="F8" s="25"/>
      <c r="G8" s="25"/>
      <c r="H8" s="25"/>
      <c r="I8" s="25"/>
      <c r="J8" s="25"/>
      <c r="K8" s="25">
        <f>[4]PIVOT_2023!H4</f>
        <v>28441559</v>
      </c>
      <c r="L8" s="25">
        <f>F8+G8+H8+I8+J8+K8</f>
        <v>28441559</v>
      </c>
      <c r="M8" s="25">
        <v>28441559</v>
      </c>
      <c r="N8" s="25">
        <f>ROUND(M8,0)</f>
        <v>28441559</v>
      </c>
      <c r="O8" s="25">
        <f t="shared" si="2"/>
        <v>0</v>
      </c>
      <c r="P8" s="26"/>
    </row>
    <row r="9" spans="1:16" ht="27.75" customHeight="1" outlineLevel="1" x14ac:dyDescent="0.25">
      <c r="C9" s="23" t="s">
        <v>23</v>
      </c>
      <c r="D9" s="24" t="s">
        <v>24</v>
      </c>
      <c r="E9" s="25"/>
      <c r="F9" s="25"/>
      <c r="G9" s="25"/>
      <c r="H9" s="25"/>
      <c r="I9" s="25"/>
      <c r="J9" s="25"/>
      <c r="K9" s="25">
        <f>[4]PIVOT_2023!H5</f>
        <v>0</v>
      </c>
      <c r="L9" s="25">
        <f>F9+G9+H9+I9+J9+K9</f>
        <v>0</v>
      </c>
      <c r="M9" s="25">
        <v>0</v>
      </c>
      <c r="N9" s="25">
        <f>ROUND(M9,0)</f>
        <v>0</v>
      </c>
      <c r="O9" s="25">
        <f t="shared" si="2"/>
        <v>0</v>
      </c>
      <c r="P9" s="26"/>
    </row>
    <row r="10" spans="1:16" ht="15.75" customHeight="1" x14ac:dyDescent="0.25">
      <c r="C10" s="13" t="s">
        <v>25</v>
      </c>
      <c r="D10" s="14" t="s">
        <v>26</v>
      </c>
      <c r="E10" s="15"/>
      <c r="F10" s="15"/>
      <c r="G10" s="15"/>
      <c r="H10" s="15"/>
      <c r="I10" s="15"/>
      <c r="J10" s="15"/>
      <c r="K10" s="15"/>
      <c r="L10" s="15">
        <f>L11+L14+L17</f>
        <v>2903312</v>
      </c>
      <c r="M10" s="15">
        <f>M11+M14+M17</f>
        <v>2903312</v>
      </c>
      <c r="N10" s="15">
        <f>N11+N14+N17</f>
        <v>2903312</v>
      </c>
      <c r="O10" s="16">
        <f t="shared" si="2"/>
        <v>0</v>
      </c>
      <c r="P10" s="17"/>
    </row>
    <row r="11" spans="1:16" x14ac:dyDescent="0.25">
      <c r="B11" s="1" t="s">
        <v>27</v>
      </c>
      <c r="C11" s="27" t="s">
        <v>28</v>
      </c>
      <c r="D11" s="28" t="s">
        <v>29</v>
      </c>
      <c r="E11" s="29">
        <v>0</v>
      </c>
      <c r="F11" s="29">
        <f t="shared" ref="F11:K11" si="3">SUM(F12:F13)</f>
        <v>0</v>
      </c>
      <c r="G11" s="29">
        <f t="shared" si="3"/>
        <v>0</v>
      </c>
      <c r="H11" s="29">
        <f t="shared" si="3"/>
        <v>0</v>
      </c>
      <c r="I11" s="29">
        <f>SUM(I12:I13)</f>
        <v>0</v>
      </c>
      <c r="J11" s="29">
        <f t="shared" si="3"/>
        <v>0</v>
      </c>
      <c r="K11" s="29">
        <f t="shared" si="3"/>
        <v>1998295</v>
      </c>
      <c r="L11" s="29">
        <f>SUM(L12:L13)</f>
        <v>1998295</v>
      </c>
      <c r="M11" s="29">
        <f>SUM(M12:M13)</f>
        <v>1998295</v>
      </c>
      <c r="N11" s="29">
        <f>SUM(N12:N13)</f>
        <v>1998295</v>
      </c>
      <c r="O11" s="29">
        <f t="shared" si="2"/>
        <v>0</v>
      </c>
      <c r="P11" s="30"/>
    </row>
    <row r="12" spans="1:16" x14ac:dyDescent="0.25">
      <c r="A12" s="1" t="s">
        <v>19</v>
      </c>
      <c r="B12" s="1" t="s">
        <v>30</v>
      </c>
      <c r="C12" s="23" t="s">
        <v>31</v>
      </c>
      <c r="D12" s="24" t="s">
        <v>22</v>
      </c>
      <c r="E12" s="25"/>
      <c r="F12" s="25"/>
      <c r="G12" s="25"/>
      <c r="H12" s="25"/>
      <c r="I12" s="25"/>
      <c r="J12" s="25"/>
      <c r="K12" s="25">
        <f>[4]PIVOT_2023!H7</f>
        <v>1807872</v>
      </c>
      <c r="L12" s="25">
        <f>F12+G12+H12+I12+J12+K12</f>
        <v>1807872</v>
      </c>
      <c r="M12" s="25">
        <v>1807872</v>
      </c>
      <c r="N12" s="25">
        <f>ROUND(M12,0)</f>
        <v>1807872</v>
      </c>
      <c r="O12" s="25">
        <f t="shared" si="2"/>
        <v>0</v>
      </c>
      <c r="P12" s="31"/>
    </row>
    <row r="13" spans="1:16" x14ac:dyDescent="0.25">
      <c r="A13" s="1" t="s">
        <v>19</v>
      </c>
      <c r="B13" s="1" t="s">
        <v>32</v>
      </c>
      <c r="C13" s="23" t="s">
        <v>33</v>
      </c>
      <c r="D13" s="24" t="s">
        <v>34</v>
      </c>
      <c r="E13" s="25"/>
      <c r="F13" s="25"/>
      <c r="G13" s="25"/>
      <c r="H13" s="25"/>
      <c r="I13" s="25"/>
      <c r="J13" s="25"/>
      <c r="K13" s="25">
        <f>[4]PIVOT_2023!H8</f>
        <v>190423</v>
      </c>
      <c r="L13" s="25">
        <f>F13+G13+H13+I13+J13+K13</f>
        <v>190423</v>
      </c>
      <c r="M13" s="25">
        <v>190423</v>
      </c>
      <c r="N13" s="25">
        <f>ROUND(M13,0)</f>
        <v>190423</v>
      </c>
      <c r="O13" s="25">
        <f t="shared" si="2"/>
        <v>0</v>
      </c>
      <c r="P13" s="26"/>
    </row>
    <row r="14" spans="1:16" x14ac:dyDescent="0.25">
      <c r="B14" s="1" t="s">
        <v>35</v>
      </c>
      <c r="C14" s="27" t="s">
        <v>36</v>
      </c>
      <c r="D14" s="28" t="s">
        <v>37</v>
      </c>
      <c r="E14" s="29">
        <v>0</v>
      </c>
      <c r="F14" s="29">
        <f t="shared" ref="F14:K14" si="4">SUM(F15:F16)</f>
        <v>0</v>
      </c>
      <c r="G14" s="29">
        <f t="shared" si="4"/>
        <v>0</v>
      </c>
      <c r="H14" s="29">
        <f t="shared" si="4"/>
        <v>0</v>
      </c>
      <c r="I14" s="29">
        <f>SUM(I15:I16)</f>
        <v>0</v>
      </c>
      <c r="J14" s="29">
        <f t="shared" si="4"/>
        <v>0</v>
      </c>
      <c r="K14" s="29">
        <f t="shared" si="4"/>
        <v>412472</v>
      </c>
      <c r="L14" s="29">
        <f>SUM(L15:L16)</f>
        <v>412472</v>
      </c>
      <c r="M14" s="29">
        <f>SUM(M15:M16)</f>
        <v>412472</v>
      </c>
      <c r="N14" s="29">
        <f>SUM(N15:N16)</f>
        <v>412472</v>
      </c>
      <c r="O14" s="29">
        <f t="shared" si="2"/>
        <v>0</v>
      </c>
      <c r="P14" s="30"/>
    </row>
    <row r="15" spans="1:16" x14ac:dyDescent="0.25">
      <c r="A15" s="1" t="s">
        <v>19</v>
      </c>
      <c r="B15" s="1" t="s">
        <v>38</v>
      </c>
      <c r="C15" s="23" t="s">
        <v>39</v>
      </c>
      <c r="D15" s="24" t="s">
        <v>40</v>
      </c>
      <c r="E15" s="25"/>
      <c r="F15" s="25"/>
      <c r="G15" s="25"/>
      <c r="H15" s="25"/>
      <c r="I15" s="25"/>
      <c r="J15" s="25"/>
      <c r="K15" s="25">
        <f>[4]PIVOT_2023!H10</f>
        <v>326353</v>
      </c>
      <c r="L15" s="25">
        <f>F15+G15+H15+I15+J15+K15</f>
        <v>326353</v>
      </c>
      <c r="M15" s="25">
        <v>326353</v>
      </c>
      <c r="N15" s="25">
        <f>ROUND(M15,0)</f>
        <v>326353</v>
      </c>
      <c r="O15" s="25">
        <f t="shared" si="2"/>
        <v>0</v>
      </c>
      <c r="P15" s="32"/>
    </row>
    <row r="16" spans="1:16" x14ac:dyDescent="0.25">
      <c r="A16" s="1" t="s">
        <v>19</v>
      </c>
      <c r="B16" s="1" t="s">
        <v>41</v>
      </c>
      <c r="C16" s="23" t="s">
        <v>42</v>
      </c>
      <c r="D16" s="24" t="s">
        <v>34</v>
      </c>
      <c r="E16" s="25"/>
      <c r="F16" s="25"/>
      <c r="G16" s="25"/>
      <c r="H16" s="25"/>
      <c r="I16" s="25"/>
      <c r="J16" s="25"/>
      <c r="K16" s="25">
        <f>[4]PIVOT_2023!H11</f>
        <v>86119</v>
      </c>
      <c r="L16" s="25">
        <f>F16+G16+H16+I16+J16+K16</f>
        <v>86119</v>
      </c>
      <c r="M16" s="25">
        <v>86119</v>
      </c>
      <c r="N16" s="25">
        <f>ROUND(M16,0)</f>
        <v>86119</v>
      </c>
      <c r="O16" s="25">
        <f t="shared" si="2"/>
        <v>0</v>
      </c>
      <c r="P16" s="26"/>
    </row>
    <row r="17" spans="1:16" ht="27.6" x14ac:dyDescent="0.25">
      <c r="B17" s="1" t="s">
        <v>43</v>
      </c>
      <c r="C17" s="27" t="s">
        <v>44</v>
      </c>
      <c r="D17" s="28" t="s">
        <v>45</v>
      </c>
      <c r="E17" s="29">
        <v>0</v>
      </c>
      <c r="F17" s="29">
        <f t="shared" ref="F17:L17" si="5">SUM(F18:F19)</f>
        <v>0</v>
      </c>
      <c r="G17" s="29">
        <f t="shared" si="5"/>
        <v>0</v>
      </c>
      <c r="H17" s="29">
        <f t="shared" si="5"/>
        <v>0</v>
      </c>
      <c r="I17" s="29">
        <f>SUM(I18:I19)</f>
        <v>0</v>
      </c>
      <c r="J17" s="29">
        <f t="shared" si="5"/>
        <v>0</v>
      </c>
      <c r="K17" s="29">
        <f t="shared" si="5"/>
        <v>492545</v>
      </c>
      <c r="L17" s="29">
        <f t="shared" si="5"/>
        <v>492545</v>
      </c>
      <c r="M17" s="29">
        <f>SUM(M18:M19)</f>
        <v>492545</v>
      </c>
      <c r="N17" s="29">
        <f>SUM(N18:N19)</f>
        <v>492545</v>
      </c>
      <c r="O17" s="29">
        <f t="shared" si="2"/>
        <v>0</v>
      </c>
      <c r="P17" s="30"/>
    </row>
    <row r="18" spans="1:16" ht="18.75" customHeight="1" x14ac:dyDescent="0.25">
      <c r="A18" s="1" t="s">
        <v>19</v>
      </c>
      <c r="B18" s="1" t="s">
        <v>46</v>
      </c>
      <c r="C18" s="23" t="s">
        <v>47</v>
      </c>
      <c r="D18" s="24" t="s">
        <v>40</v>
      </c>
      <c r="E18" s="25"/>
      <c r="F18" s="25"/>
      <c r="G18" s="25"/>
      <c r="H18" s="25"/>
      <c r="I18" s="25"/>
      <c r="J18" s="25"/>
      <c r="K18" s="25">
        <f>[4]PIVOT_2023!H13</f>
        <v>431787</v>
      </c>
      <c r="L18" s="25">
        <f>F18+G18+H18+I18+J18+K18</f>
        <v>431787</v>
      </c>
      <c r="M18" s="25">
        <v>431787</v>
      </c>
      <c r="N18" s="25">
        <f>ROUND(M18,0)</f>
        <v>431787</v>
      </c>
      <c r="O18" s="25">
        <f t="shared" si="2"/>
        <v>0</v>
      </c>
      <c r="P18" s="32"/>
    </row>
    <row r="19" spans="1:16" x14ac:dyDescent="0.25">
      <c r="A19" s="1" t="s">
        <v>19</v>
      </c>
      <c r="B19" s="1" t="s">
        <v>48</v>
      </c>
      <c r="C19" s="23" t="s">
        <v>49</v>
      </c>
      <c r="D19" s="24" t="s">
        <v>34</v>
      </c>
      <c r="E19" s="25"/>
      <c r="F19" s="25"/>
      <c r="G19" s="25"/>
      <c r="H19" s="25"/>
      <c r="I19" s="25"/>
      <c r="J19" s="25"/>
      <c r="K19" s="25">
        <f>[4]PIVOT_2023!H14</f>
        <v>60758</v>
      </c>
      <c r="L19" s="25">
        <f>F19+G19+H19+I19+J19+K19</f>
        <v>60758</v>
      </c>
      <c r="M19" s="25">
        <v>60758</v>
      </c>
      <c r="N19" s="25">
        <f>ROUND(M19,0)</f>
        <v>60758</v>
      </c>
      <c r="O19" s="25">
        <f t="shared" si="2"/>
        <v>0</v>
      </c>
      <c r="P19" s="31"/>
    </row>
    <row r="20" spans="1:16" ht="28.2" x14ac:dyDescent="0.3">
      <c r="B20" s="611"/>
      <c r="C20" s="27" t="s">
        <v>50</v>
      </c>
      <c r="D20" s="28" t="s">
        <v>51</v>
      </c>
      <c r="E20" s="29">
        <v>190002</v>
      </c>
      <c r="F20" s="29">
        <f t="shared" ref="F20:N20" si="6">SUM(F21:F22)</f>
        <v>70000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70000</v>
      </c>
      <c r="M20" s="29">
        <f t="shared" si="6"/>
        <v>70000</v>
      </c>
      <c r="N20" s="29">
        <f t="shared" si="6"/>
        <v>70000</v>
      </c>
      <c r="O20" s="29">
        <f t="shared" si="2"/>
        <v>0</v>
      </c>
      <c r="P20" s="30"/>
    </row>
    <row r="21" spans="1:16" ht="14.4" customHeight="1" outlineLevel="1" x14ac:dyDescent="0.25">
      <c r="B21" s="1" t="s">
        <v>52</v>
      </c>
      <c r="C21" s="23" t="s">
        <v>53</v>
      </c>
      <c r="D21" s="24" t="s">
        <v>54</v>
      </c>
      <c r="E21" s="25"/>
      <c r="F21" s="25"/>
      <c r="G21" s="25"/>
      <c r="H21" s="25"/>
      <c r="I21" s="25"/>
      <c r="J21" s="25"/>
      <c r="K21" s="25"/>
      <c r="L21" s="25">
        <f>F21+G21+H21+I21+J21+K21</f>
        <v>0</v>
      </c>
      <c r="M21" s="25">
        <v>0</v>
      </c>
      <c r="N21" s="25">
        <f>ROUND(M21,0)</f>
        <v>0</v>
      </c>
      <c r="O21" s="25">
        <f t="shared" si="2"/>
        <v>0</v>
      </c>
      <c r="P21" s="32"/>
    </row>
    <row r="22" spans="1:16" ht="19.95" customHeight="1" x14ac:dyDescent="0.25">
      <c r="B22" s="1" t="s">
        <v>55</v>
      </c>
      <c r="C22" s="23" t="s">
        <v>53</v>
      </c>
      <c r="D22" s="24" t="s">
        <v>56</v>
      </c>
      <c r="E22" s="25">
        <v>190002</v>
      </c>
      <c r="F22" s="25">
        <v>70000</v>
      </c>
      <c r="G22" s="25"/>
      <c r="H22" s="25"/>
      <c r="I22" s="25"/>
      <c r="J22" s="25"/>
      <c r="K22" s="25"/>
      <c r="L22" s="25">
        <f>F22+G22+H22+I22+J22+K22</f>
        <v>70000</v>
      </c>
      <c r="M22" s="25">
        <v>70000</v>
      </c>
      <c r="N22" s="25">
        <f>ROUND(M22,0)</f>
        <v>70000</v>
      </c>
      <c r="O22" s="25">
        <f t="shared" si="2"/>
        <v>0</v>
      </c>
      <c r="P22" s="33"/>
    </row>
    <row r="23" spans="1:16" ht="15.75" customHeight="1" x14ac:dyDescent="0.25">
      <c r="B23" s="1" t="s">
        <v>57</v>
      </c>
      <c r="C23" s="27" t="s">
        <v>58</v>
      </c>
      <c r="D23" s="28" t="s">
        <v>59</v>
      </c>
      <c r="E23" s="29">
        <v>0</v>
      </c>
      <c r="F23" s="29">
        <f t="shared" ref="F23:J23" si="7">F24+F28</f>
        <v>0</v>
      </c>
      <c r="G23" s="29">
        <f t="shared" si="7"/>
        <v>0</v>
      </c>
      <c r="H23" s="29">
        <f t="shared" si="7"/>
        <v>0</v>
      </c>
      <c r="I23" s="29">
        <f>I24+I28</f>
        <v>0</v>
      </c>
      <c r="J23" s="29">
        <f t="shared" si="7"/>
        <v>0</v>
      </c>
      <c r="K23" s="29">
        <f>K24+K28</f>
        <v>160000</v>
      </c>
      <c r="L23" s="29">
        <f>L24+L28</f>
        <v>160000</v>
      </c>
      <c r="M23" s="29">
        <f>M24+M28</f>
        <v>160000</v>
      </c>
      <c r="N23" s="29">
        <f>N24+N28</f>
        <v>160000</v>
      </c>
      <c r="O23" s="29">
        <f t="shared" si="2"/>
        <v>0</v>
      </c>
      <c r="P23" s="30"/>
    </row>
    <row r="24" spans="1:16" x14ac:dyDescent="0.25">
      <c r="A24" s="1" t="s">
        <v>19</v>
      </c>
      <c r="B24" s="1" t="s">
        <v>60</v>
      </c>
      <c r="C24" s="23" t="s">
        <v>61</v>
      </c>
      <c r="D24" s="24" t="s">
        <v>62</v>
      </c>
      <c r="E24" s="25">
        <v>0</v>
      </c>
      <c r="F24" s="25">
        <f t="shared" ref="F24:L24" si="8">F25+F26+F27</f>
        <v>0</v>
      </c>
      <c r="G24" s="25">
        <f t="shared" si="8"/>
        <v>0</v>
      </c>
      <c r="H24" s="25">
        <f t="shared" si="8"/>
        <v>0</v>
      </c>
      <c r="I24" s="25">
        <f>I25+I26+I27</f>
        <v>0</v>
      </c>
      <c r="J24" s="25">
        <f t="shared" si="8"/>
        <v>0</v>
      </c>
      <c r="K24" s="25">
        <f t="shared" si="8"/>
        <v>6700</v>
      </c>
      <c r="L24" s="25">
        <f t="shared" si="8"/>
        <v>6700</v>
      </c>
      <c r="M24" s="25">
        <v>6700</v>
      </c>
      <c r="N24" s="25">
        <f>N25+N26+N27</f>
        <v>6700</v>
      </c>
      <c r="O24" s="25">
        <f t="shared" si="2"/>
        <v>0</v>
      </c>
      <c r="P24" s="31"/>
    </row>
    <row r="25" spans="1:16" ht="26.4" x14ac:dyDescent="0.25">
      <c r="B25" s="1" t="s">
        <v>63</v>
      </c>
      <c r="C25" s="34" t="s">
        <v>64</v>
      </c>
      <c r="D25" s="35" t="s">
        <v>65</v>
      </c>
      <c r="E25" s="25"/>
      <c r="F25" s="25"/>
      <c r="G25" s="25"/>
      <c r="H25" s="25"/>
      <c r="I25" s="25"/>
      <c r="J25" s="25"/>
      <c r="K25" s="25">
        <v>1700</v>
      </c>
      <c r="L25" s="25">
        <f>F25+G25+H25+I25+J25+K25</f>
        <v>1700</v>
      </c>
      <c r="M25" s="25">
        <v>1700</v>
      </c>
      <c r="N25" s="25">
        <f>ROUND(M25,0)</f>
        <v>1700</v>
      </c>
      <c r="O25" s="25">
        <f t="shared" si="2"/>
        <v>0</v>
      </c>
      <c r="P25" s="31"/>
    </row>
    <row r="26" spans="1:16" ht="26.4" x14ac:dyDescent="0.25">
      <c r="B26" s="1" t="s">
        <v>66</v>
      </c>
      <c r="C26" s="34" t="s">
        <v>67</v>
      </c>
      <c r="D26" s="35" t="s">
        <v>68</v>
      </c>
      <c r="E26" s="25"/>
      <c r="F26" s="25"/>
      <c r="G26" s="25"/>
      <c r="H26" s="25"/>
      <c r="I26" s="25"/>
      <c r="J26" s="25"/>
      <c r="K26" s="25">
        <v>4500</v>
      </c>
      <c r="L26" s="25">
        <f>F26+G26+H26+I26+J26+K26</f>
        <v>4500</v>
      </c>
      <c r="M26" s="25">
        <v>4500</v>
      </c>
      <c r="N26" s="25">
        <f>ROUND(M26,0)</f>
        <v>4500</v>
      </c>
      <c r="O26" s="25">
        <f t="shared" si="2"/>
        <v>0</v>
      </c>
      <c r="P26" s="31"/>
    </row>
    <row r="27" spans="1:16" ht="26.4" x14ac:dyDescent="0.25">
      <c r="B27" s="1" t="s">
        <v>69</v>
      </c>
      <c r="C27" s="34" t="s">
        <v>70</v>
      </c>
      <c r="D27" s="35" t="s">
        <v>71</v>
      </c>
      <c r="E27" s="25"/>
      <c r="F27" s="25"/>
      <c r="G27" s="25"/>
      <c r="H27" s="25"/>
      <c r="I27" s="25"/>
      <c r="J27" s="25"/>
      <c r="K27" s="25">
        <v>500</v>
      </c>
      <c r="L27" s="25">
        <f>F27+G27+H27+I27+J27+K27</f>
        <v>500</v>
      </c>
      <c r="M27" s="25">
        <v>500</v>
      </c>
      <c r="N27" s="25">
        <f>ROUND(M27,0)</f>
        <v>500</v>
      </c>
      <c r="O27" s="25">
        <f t="shared" si="2"/>
        <v>0</v>
      </c>
      <c r="P27" s="31"/>
    </row>
    <row r="28" spans="1:16" x14ac:dyDescent="0.25">
      <c r="A28" s="1" t="s">
        <v>19</v>
      </c>
      <c r="B28" s="1" t="s">
        <v>72</v>
      </c>
      <c r="C28" s="23" t="s">
        <v>73</v>
      </c>
      <c r="D28" s="24" t="s">
        <v>74</v>
      </c>
      <c r="E28" s="25">
        <v>0</v>
      </c>
      <c r="F28" s="25">
        <f t="shared" ref="F28:M28" si="9">SUM(F29:F35)</f>
        <v>0</v>
      </c>
      <c r="G28" s="25">
        <f t="shared" si="9"/>
        <v>0</v>
      </c>
      <c r="H28" s="25">
        <f t="shared" si="9"/>
        <v>0</v>
      </c>
      <c r="I28" s="25">
        <f>SUM(I29:I35)</f>
        <v>0</v>
      </c>
      <c r="J28" s="25">
        <f t="shared" si="9"/>
        <v>0</v>
      </c>
      <c r="K28" s="25">
        <f t="shared" si="9"/>
        <v>153300</v>
      </c>
      <c r="L28" s="25">
        <f t="shared" si="9"/>
        <v>153300</v>
      </c>
      <c r="M28" s="25">
        <f t="shared" si="9"/>
        <v>153300</v>
      </c>
      <c r="N28" s="25">
        <f>SUM(N29:N35)</f>
        <v>153300</v>
      </c>
      <c r="O28" s="25">
        <f t="shared" si="2"/>
        <v>0</v>
      </c>
      <c r="P28" s="31"/>
    </row>
    <row r="29" spans="1:16" ht="26.4" x14ac:dyDescent="0.25">
      <c r="B29" s="1" t="s">
        <v>75</v>
      </c>
      <c r="C29" s="34" t="s">
        <v>76</v>
      </c>
      <c r="D29" s="35" t="s">
        <v>77</v>
      </c>
      <c r="E29" s="25"/>
      <c r="F29" s="25"/>
      <c r="G29" s="25"/>
      <c r="H29" s="25"/>
      <c r="I29" s="25"/>
      <c r="J29" s="25"/>
      <c r="K29" s="25">
        <v>350</v>
      </c>
      <c r="L29" s="25">
        <f t="shared" ref="L29:L35" si="10">F29+G29+H29+I29+J29+K29</f>
        <v>350</v>
      </c>
      <c r="M29" s="25">
        <v>350</v>
      </c>
      <c r="N29" s="25">
        <f t="shared" ref="N29:N35" si="11">ROUND(M29,0)</f>
        <v>350</v>
      </c>
      <c r="O29" s="25">
        <f t="shared" si="2"/>
        <v>0</v>
      </c>
      <c r="P29" s="31"/>
    </row>
    <row r="30" spans="1:16" ht="26.4" x14ac:dyDescent="0.25">
      <c r="B30" s="50" t="s">
        <v>78</v>
      </c>
      <c r="C30" s="34" t="s">
        <v>79</v>
      </c>
      <c r="D30" s="35" t="s">
        <v>80</v>
      </c>
      <c r="E30" s="25"/>
      <c r="F30" s="25"/>
      <c r="G30" s="25"/>
      <c r="H30" s="25"/>
      <c r="I30" s="25"/>
      <c r="J30" s="25"/>
      <c r="K30" s="25">
        <v>1100</v>
      </c>
      <c r="L30" s="25">
        <f t="shared" si="10"/>
        <v>1100</v>
      </c>
      <c r="M30" s="25">
        <v>1100</v>
      </c>
      <c r="N30" s="25">
        <f t="shared" si="11"/>
        <v>1100</v>
      </c>
      <c r="O30" s="25">
        <f t="shared" si="2"/>
        <v>0</v>
      </c>
      <c r="P30" s="31"/>
    </row>
    <row r="31" spans="1:16" x14ac:dyDescent="0.25">
      <c r="B31" s="1" t="s">
        <v>81</v>
      </c>
      <c r="C31" s="34" t="s">
        <v>82</v>
      </c>
      <c r="D31" s="35" t="s">
        <v>83</v>
      </c>
      <c r="E31" s="25"/>
      <c r="F31" s="25"/>
      <c r="G31" s="25"/>
      <c r="H31" s="25"/>
      <c r="I31" s="25"/>
      <c r="J31" s="25"/>
      <c r="K31" s="25">
        <v>27000</v>
      </c>
      <c r="L31" s="25">
        <f t="shared" si="10"/>
        <v>27000</v>
      </c>
      <c r="M31" s="25">
        <v>27000</v>
      </c>
      <c r="N31" s="25">
        <f t="shared" si="11"/>
        <v>27000</v>
      </c>
      <c r="O31" s="25">
        <f t="shared" si="2"/>
        <v>0</v>
      </c>
      <c r="P31" s="31"/>
    </row>
    <row r="32" spans="1:16" x14ac:dyDescent="0.25">
      <c r="B32" s="1" t="s">
        <v>84</v>
      </c>
      <c r="C32" s="34" t="s">
        <v>85</v>
      </c>
      <c r="D32" s="35" t="s">
        <v>86</v>
      </c>
      <c r="E32" s="25"/>
      <c r="F32" s="25"/>
      <c r="G32" s="25"/>
      <c r="H32" s="25"/>
      <c r="I32" s="25"/>
      <c r="J32" s="25"/>
      <c r="K32" s="25">
        <v>0</v>
      </c>
      <c r="L32" s="25">
        <f t="shared" si="10"/>
        <v>0</v>
      </c>
      <c r="M32" s="25">
        <v>0</v>
      </c>
      <c r="N32" s="25">
        <f t="shared" si="11"/>
        <v>0</v>
      </c>
      <c r="O32" s="25">
        <f t="shared" si="2"/>
        <v>0</v>
      </c>
      <c r="P32" s="31"/>
    </row>
    <row r="33" spans="1:16" ht="26.4" x14ac:dyDescent="0.25">
      <c r="B33" s="1" t="s">
        <v>87</v>
      </c>
      <c r="C33" s="34" t="s">
        <v>88</v>
      </c>
      <c r="D33" s="35" t="s">
        <v>89</v>
      </c>
      <c r="E33" s="25"/>
      <c r="F33" s="25"/>
      <c r="G33" s="25"/>
      <c r="H33" s="25"/>
      <c r="I33" s="25"/>
      <c r="J33" s="25"/>
      <c r="K33" s="25">
        <v>11500</v>
      </c>
      <c r="L33" s="25">
        <f t="shared" si="10"/>
        <v>11500</v>
      </c>
      <c r="M33" s="25">
        <v>11500</v>
      </c>
      <c r="N33" s="25">
        <f t="shared" si="11"/>
        <v>11500</v>
      </c>
      <c r="O33" s="25">
        <f t="shared" si="2"/>
        <v>0</v>
      </c>
      <c r="P33" s="31"/>
    </row>
    <row r="34" spans="1:16" x14ac:dyDescent="0.25">
      <c r="B34" s="1" t="s">
        <v>90</v>
      </c>
      <c r="C34" s="34" t="s">
        <v>91</v>
      </c>
      <c r="D34" s="35" t="s">
        <v>92</v>
      </c>
      <c r="E34" s="25"/>
      <c r="F34" s="25"/>
      <c r="G34" s="25"/>
      <c r="H34" s="25"/>
      <c r="I34" s="25"/>
      <c r="J34" s="25"/>
      <c r="K34" s="25">
        <f>100000-13150+19500</f>
        <v>106350</v>
      </c>
      <c r="L34" s="25">
        <f t="shared" si="10"/>
        <v>106350</v>
      </c>
      <c r="M34" s="25">
        <v>106350</v>
      </c>
      <c r="N34" s="25">
        <f t="shared" si="11"/>
        <v>106350</v>
      </c>
      <c r="O34" s="25">
        <f t="shared" si="2"/>
        <v>0</v>
      </c>
      <c r="P34" s="31"/>
    </row>
    <row r="35" spans="1:16" x14ac:dyDescent="0.25">
      <c r="B35" s="1" t="s">
        <v>93</v>
      </c>
      <c r="C35" s="34" t="s">
        <v>94</v>
      </c>
      <c r="D35" s="35" t="s">
        <v>95</v>
      </c>
      <c r="E35" s="25"/>
      <c r="F35" s="25"/>
      <c r="G35" s="25"/>
      <c r="H35" s="25"/>
      <c r="I35" s="25"/>
      <c r="J35" s="25"/>
      <c r="K35" s="25">
        <v>7000</v>
      </c>
      <c r="L35" s="25">
        <f t="shared" si="10"/>
        <v>7000</v>
      </c>
      <c r="M35" s="25">
        <v>7000</v>
      </c>
      <c r="N35" s="25">
        <f t="shared" si="11"/>
        <v>7000</v>
      </c>
      <c r="O35" s="25">
        <f t="shared" si="2"/>
        <v>0</v>
      </c>
      <c r="P35" s="31"/>
    </row>
    <row r="36" spans="1:16" ht="18" customHeight="1" x14ac:dyDescent="0.25">
      <c r="B36" s="1" t="s">
        <v>96</v>
      </c>
      <c r="C36" s="27" t="s">
        <v>97</v>
      </c>
      <c r="D36" s="28" t="s">
        <v>98</v>
      </c>
      <c r="E36" s="29">
        <v>0</v>
      </c>
      <c r="F36" s="29">
        <f t="shared" ref="F36:L36" si="12">F37+F38</f>
        <v>0</v>
      </c>
      <c r="G36" s="29">
        <f t="shared" si="12"/>
        <v>0</v>
      </c>
      <c r="H36" s="29">
        <f t="shared" si="12"/>
        <v>0</v>
      </c>
      <c r="I36" s="29">
        <f>I37+I38</f>
        <v>0</v>
      </c>
      <c r="J36" s="29">
        <f t="shared" si="12"/>
        <v>0</v>
      </c>
      <c r="K36" s="29">
        <f t="shared" si="12"/>
        <v>65000</v>
      </c>
      <c r="L36" s="29">
        <f t="shared" si="12"/>
        <v>65000</v>
      </c>
      <c r="M36" s="29">
        <f>M37+M38</f>
        <v>65000</v>
      </c>
      <c r="N36" s="29">
        <f>N37+N38</f>
        <v>65000</v>
      </c>
      <c r="O36" s="29">
        <f t="shared" si="2"/>
        <v>0</v>
      </c>
      <c r="P36" s="36"/>
    </row>
    <row r="37" spans="1:16" ht="16.5" customHeight="1" x14ac:dyDescent="0.3">
      <c r="B37" s="611" t="s">
        <v>99</v>
      </c>
      <c r="C37" s="23" t="s">
        <v>100</v>
      </c>
      <c r="D37" s="24" t="s">
        <v>98</v>
      </c>
      <c r="E37" s="25"/>
      <c r="F37" s="25"/>
      <c r="G37" s="25"/>
      <c r="H37" s="25"/>
      <c r="I37" s="25"/>
      <c r="J37" s="25"/>
      <c r="K37" s="25">
        <v>31000</v>
      </c>
      <c r="L37" s="25">
        <f>F37+G37+H37+I37+J37+K37</f>
        <v>31000</v>
      </c>
      <c r="M37" s="25">
        <v>31000</v>
      </c>
      <c r="N37" s="25">
        <f>ROUND(M37,0)</f>
        <v>31000</v>
      </c>
      <c r="O37" s="25">
        <f t="shared" si="2"/>
        <v>0</v>
      </c>
      <c r="P37" s="26"/>
    </row>
    <row r="38" spans="1:16" ht="28.2" x14ac:dyDescent="0.3">
      <c r="B38" s="611" t="s">
        <v>101</v>
      </c>
      <c r="C38" s="23" t="s">
        <v>102</v>
      </c>
      <c r="D38" s="24" t="s">
        <v>103</v>
      </c>
      <c r="E38" s="25"/>
      <c r="F38" s="25"/>
      <c r="G38" s="25"/>
      <c r="H38" s="25"/>
      <c r="I38" s="25"/>
      <c r="J38" s="25"/>
      <c r="K38" s="25">
        <v>34000</v>
      </c>
      <c r="L38" s="25">
        <f>F38+G38+H38+I38+J38+K38</f>
        <v>34000</v>
      </c>
      <c r="M38" s="25">
        <v>34000</v>
      </c>
      <c r="N38" s="25">
        <f>ROUND(M38,0)</f>
        <v>34000</v>
      </c>
      <c r="O38" s="25">
        <f t="shared" si="2"/>
        <v>0</v>
      </c>
      <c r="P38" s="26"/>
    </row>
    <row r="39" spans="1:16" x14ac:dyDescent="0.25">
      <c r="B39" s="1" t="s">
        <v>104</v>
      </c>
      <c r="C39" s="27" t="s">
        <v>105</v>
      </c>
      <c r="D39" s="28" t="s">
        <v>106</v>
      </c>
      <c r="E39" s="29">
        <v>0</v>
      </c>
      <c r="F39" s="29">
        <f t="shared" ref="F39:L39" si="13">F40+F41+F42</f>
        <v>0</v>
      </c>
      <c r="G39" s="29">
        <f t="shared" si="13"/>
        <v>16000</v>
      </c>
      <c r="H39" s="29">
        <f t="shared" si="13"/>
        <v>0</v>
      </c>
      <c r="I39" s="29">
        <f>I40+I41+I42</f>
        <v>0</v>
      </c>
      <c r="J39" s="29">
        <f t="shared" si="13"/>
        <v>0</v>
      </c>
      <c r="K39" s="29">
        <f>[4]PIVOT_2023!H18</f>
        <v>6453</v>
      </c>
      <c r="L39" s="29">
        <f t="shared" si="13"/>
        <v>22453</v>
      </c>
      <c r="M39" s="29">
        <f>M40+M41+M42</f>
        <v>22453</v>
      </c>
      <c r="N39" s="29">
        <f>N40+N41+N42</f>
        <v>33317</v>
      </c>
      <c r="O39" s="29">
        <f t="shared" si="2"/>
        <v>10864</v>
      </c>
      <c r="P39" s="30"/>
    </row>
    <row r="40" spans="1:16" ht="42.6" customHeight="1" x14ac:dyDescent="0.25">
      <c r="A40" s="1" t="s">
        <v>19</v>
      </c>
      <c r="B40" s="2" t="s">
        <v>107</v>
      </c>
      <c r="C40" s="23" t="s">
        <v>108</v>
      </c>
      <c r="D40" s="37" t="s">
        <v>109</v>
      </c>
      <c r="E40" s="25"/>
      <c r="F40" s="25"/>
      <c r="G40" s="25">
        <v>16000</v>
      </c>
      <c r="H40" s="25"/>
      <c r="I40" s="25"/>
      <c r="J40" s="25"/>
      <c r="K40" s="25"/>
      <c r="L40" s="25">
        <f>F40+G40+H40+I40+J40+K40</f>
        <v>16000</v>
      </c>
      <c r="M40" s="25">
        <v>16000</v>
      </c>
      <c r="N40" s="25">
        <f>ROUND(M40,0)+10864</f>
        <v>26864</v>
      </c>
      <c r="O40" s="25">
        <f t="shared" si="2"/>
        <v>10864</v>
      </c>
      <c r="P40" s="38" t="s">
        <v>110</v>
      </c>
    </row>
    <row r="41" spans="1:16" ht="27.6" x14ac:dyDescent="0.25">
      <c r="B41" s="1" t="s">
        <v>111</v>
      </c>
      <c r="C41" s="23" t="s">
        <v>112</v>
      </c>
      <c r="D41" s="24" t="s">
        <v>113</v>
      </c>
      <c r="E41" s="25"/>
      <c r="F41" s="25"/>
      <c r="G41" s="25"/>
      <c r="H41" s="25"/>
      <c r="I41" s="25"/>
      <c r="J41" s="25"/>
      <c r="K41" s="25">
        <v>500</v>
      </c>
      <c r="L41" s="25">
        <f>F41+G41+H41+I41+J41+K41</f>
        <v>500</v>
      </c>
      <c r="M41" s="25">
        <v>500</v>
      </c>
      <c r="N41" s="25">
        <f>ROUND(M41,0)</f>
        <v>500</v>
      </c>
      <c r="O41" s="25">
        <f t="shared" si="2"/>
        <v>0</v>
      </c>
      <c r="P41" s="38"/>
    </row>
    <row r="42" spans="1:16" x14ac:dyDescent="0.25">
      <c r="C42" s="23" t="s">
        <v>114</v>
      </c>
      <c r="D42" s="24" t="s">
        <v>115</v>
      </c>
      <c r="E42" s="25"/>
      <c r="F42" s="25"/>
      <c r="G42" s="25"/>
      <c r="H42" s="25"/>
      <c r="I42" s="25"/>
      <c r="J42" s="25"/>
      <c r="K42" s="25">
        <f>6453-500</f>
        <v>5953</v>
      </c>
      <c r="L42" s="25">
        <f>F42+G42+H42+I42+J42+K42</f>
        <v>5953</v>
      </c>
      <c r="M42" s="25">
        <v>5953</v>
      </c>
      <c r="N42" s="25">
        <f>ROUND(M42,0)</f>
        <v>5953</v>
      </c>
      <c r="O42" s="25">
        <f t="shared" si="2"/>
        <v>0</v>
      </c>
      <c r="P42" s="26"/>
    </row>
    <row r="43" spans="1:16" ht="32.4" customHeight="1" x14ac:dyDescent="0.25">
      <c r="B43" s="1" t="s">
        <v>116</v>
      </c>
      <c r="C43" s="39" t="s">
        <v>117</v>
      </c>
      <c r="D43" s="28" t="s">
        <v>118</v>
      </c>
      <c r="E43" s="29"/>
      <c r="F43" s="29"/>
      <c r="G43" s="29"/>
      <c r="H43" s="29"/>
      <c r="I43" s="29"/>
      <c r="J43" s="29"/>
      <c r="K43" s="29">
        <f>[4]PIVOT_2023!H19</f>
        <v>433856</v>
      </c>
      <c r="L43" s="29">
        <f>F43+G43+H43+I43+J43+K43</f>
        <v>433856</v>
      </c>
      <c r="M43" s="29">
        <v>433856</v>
      </c>
      <c r="N43" s="29">
        <f>ROUND(M43,0)</f>
        <v>433856</v>
      </c>
      <c r="O43" s="29">
        <f t="shared" si="2"/>
        <v>0</v>
      </c>
      <c r="P43" s="36"/>
    </row>
    <row r="44" spans="1:16" ht="27.6" x14ac:dyDescent="0.25">
      <c r="C44" s="39" t="s">
        <v>119</v>
      </c>
      <c r="D44" s="28" t="s">
        <v>120</v>
      </c>
      <c r="E44" s="29">
        <v>1224821.94</v>
      </c>
      <c r="F44" s="29">
        <f t="shared" ref="F44:N44" si="14">F45+F67+F88</f>
        <v>7883316</v>
      </c>
      <c r="G44" s="29">
        <f t="shared" si="14"/>
        <v>1644824.49</v>
      </c>
      <c r="H44" s="29">
        <f t="shared" si="14"/>
        <v>0</v>
      </c>
      <c r="I44" s="29">
        <f t="shared" si="14"/>
        <v>0</v>
      </c>
      <c r="J44" s="29">
        <f t="shared" si="14"/>
        <v>0</v>
      </c>
      <c r="K44" s="29">
        <f t="shared" si="14"/>
        <v>0</v>
      </c>
      <c r="L44" s="29">
        <f t="shared" si="14"/>
        <v>9528140.4900000002</v>
      </c>
      <c r="M44" s="29">
        <f t="shared" si="14"/>
        <v>9528140.4900000002</v>
      </c>
      <c r="N44" s="29">
        <f t="shared" si="14"/>
        <v>9575632</v>
      </c>
      <c r="O44" s="29">
        <f t="shared" si="2"/>
        <v>47491.509999999776</v>
      </c>
      <c r="P44" s="29"/>
    </row>
    <row r="45" spans="1:16" ht="17.399999999999999" customHeight="1" x14ac:dyDescent="0.25">
      <c r="C45" s="40" t="s">
        <v>121</v>
      </c>
      <c r="D45" s="41" t="s">
        <v>122</v>
      </c>
      <c r="E45" s="42">
        <v>609089.79</v>
      </c>
      <c r="F45" s="42">
        <f t="shared" ref="F45:N45" si="15">SUM(F46:F49)+F52+SUM(F56:F66)</f>
        <v>7875899</v>
      </c>
      <c r="G45" s="42">
        <f t="shared" si="15"/>
        <v>0</v>
      </c>
      <c r="H45" s="42">
        <f t="shared" si="15"/>
        <v>0</v>
      </c>
      <c r="I45" s="42">
        <f t="shared" si="15"/>
        <v>0</v>
      </c>
      <c r="J45" s="42">
        <f t="shared" si="15"/>
        <v>0</v>
      </c>
      <c r="K45" s="42">
        <f t="shared" si="15"/>
        <v>0</v>
      </c>
      <c r="L45" s="42">
        <f t="shared" si="15"/>
        <v>7875899</v>
      </c>
      <c r="M45" s="25">
        <f t="shared" si="15"/>
        <v>7875899</v>
      </c>
      <c r="N45" s="25">
        <f t="shared" si="15"/>
        <v>7923391</v>
      </c>
      <c r="O45" s="25">
        <f t="shared" si="2"/>
        <v>47492</v>
      </c>
      <c r="P45" s="25"/>
    </row>
    <row r="46" spans="1:16" ht="16.95" customHeight="1" x14ac:dyDescent="0.25">
      <c r="A46" s="1" t="s">
        <v>123</v>
      </c>
      <c r="B46" s="1" t="s">
        <v>124</v>
      </c>
      <c r="C46" s="34" t="s">
        <v>125</v>
      </c>
      <c r="D46" s="24" t="s">
        <v>126</v>
      </c>
      <c r="E46" s="25">
        <v>0</v>
      </c>
      <c r="F46" s="25">
        <v>593640</v>
      </c>
      <c r="G46" s="25"/>
      <c r="H46" s="25"/>
      <c r="I46" s="25"/>
      <c r="J46" s="25"/>
      <c r="K46" s="25"/>
      <c r="L46" s="25">
        <f>F46+G46+H46+I46+J46+K46</f>
        <v>593640</v>
      </c>
      <c r="M46" s="25">
        <v>593640</v>
      </c>
      <c r="N46" s="25">
        <f>ROUND(M46,0)+52289</f>
        <v>645929</v>
      </c>
      <c r="O46" s="25">
        <f t="shared" si="2"/>
        <v>52289</v>
      </c>
      <c r="P46" s="38" t="s">
        <v>1017</v>
      </c>
    </row>
    <row r="47" spans="1:16" ht="13.95" customHeight="1" x14ac:dyDescent="0.3">
      <c r="A47" s="1" t="s">
        <v>123</v>
      </c>
      <c r="B47" s="611" t="s">
        <v>127</v>
      </c>
      <c r="C47" s="34" t="s">
        <v>128</v>
      </c>
      <c r="D47" s="24" t="s">
        <v>129</v>
      </c>
      <c r="E47" s="25">
        <v>20</v>
      </c>
      <c r="F47" s="25">
        <v>299288</v>
      </c>
      <c r="G47" s="25"/>
      <c r="H47" s="25"/>
      <c r="I47" s="25"/>
      <c r="J47" s="25"/>
      <c r="K47" s="25"/>
      <c r="L47" s="25">
        <f>F47+G47+H47+I47+J47+K47</f>
        <v>299288</v>
      </c>
      <c r="M47" s="25">
        <v>299288</v>
      </c>
      <c r="N47" s="25">
        <f>ROUND(M47,0)</f>
        <v>299288</v>
      </c>
      <c r="O47" s="25">
        <f t="shared" si="2"/>
        <v>0</v>
      </c>
      <c r="P47" s="26"/>
    </row>
    <row r="48" spans="1:16" ht="14.4" x14ac:dyDescent="0.3">
      <c r="B48" s="611" t="s">
        <v>130</v>
      </c>
      <c r="C48" s="34" t="s">
        <v>131</v>
      </c>
      <c r="D48" s="24" t="s">
        <v>132</v>
      </c>
      <c r="E48" s="25">
        <v>36836</v>
      </c>
      <c r="F48" s="25">
        <f>49493+166307+33476</f>
        <v>249276</v>
      </c>
      <c r="G48" s="25"/>
      <c r="H48" s="25"/>
      <c r="I48" s="25"/>
      <c r="J48" s="25"/>
      <c r="K48" s="25"/>
      <c r="L48" s="25">
        <f>F48+G48+H48+I48+J48+K48</f>
        <v>249276</v>
      </c>
      <c r="M48" s="25">
        <v>249276</v>
      </c>
      <c r="N48" s="25">
        <f>ROUND(M48,0)</f>
        <v>249276</v>
      </c>
      <c r="O48" s="25">
        <f t="shared" si="2"/>
        <v>0</v>
      </c>
      <c r="P48" s="38"/>
    </row>
    <row r="49" spans="1:16" ht="14.25" customHeight="1" x14ac:dyDescent="0.3">
      <c r="A49" s="1" t="s">
        <v>123</v>
      </c>
      <c r="B49" s="611" t="s">
        <v>133</v>
      </c>
      <c r="C49" s="34" t="s">
        <v>134</v>
      </c>
      <c r="D49" s="24" t="s">
        <v>135</v>
      </c>
      <c r="E49" s="25">
        <v>43038</v>
      </c>
      <c r="F49" s="25">
        <f t="shared" ref="F49:N49" si="16">F50+F51</f>
        <v>0</v>
      </c>
      <c r="G49" s="25">
        <f t="shared" si="16"/>
        <v>0</v>
      </c>
      <c r="H49" s="25">
        <f t="shared" si="16"/>
        <v>0</v>
      </c>
      <c r="I49" s="25">
        <f t="shared" si="16"/>
        <v>0</v>
      </c>
      <c r="J49" s="25">
        <f t="shared" si="16"/>
        <v>0</v>
      </c>
      <c r="K49" s="25">
        <f t="shared" si="16"/>
        <v>0</v>
      </c>
      <c r="L49" s="25">
        <f t="shared" si="16"/>
        <v>0</v>
      </c>
      <c r="M49" s="25">
        <f t="shared" si="16"/>
        <v>0</v>
      </c>
      <c r="N49" s="25">
        <f t="shared" si="16"/>
        <v>0</v>
      </c>
      <c r="O49" s="25">
        <f t="shared" si="2"/>
        <v>0</v>
      </c>
      <c r="P49" s="25"/>
    </row>
    <row r="50" spans="1:16" ht="14.25" customHeight="1" x14ac:dyDescent="0.3">
      <c r="B50" s="611"/>
      <c r="C50" s="34" t="s">
        <v>136</v>
      </c>
      <c r="D50" s="35" t="s">
        <v>137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>
        <f t="shared" si="2"/>
        <v>0</v>
      </c>
      <c r="P50" s="38"/>
    </row>
    <row r="51" spans="1:16" ht="17.399999999999999" customHeight="1" x14ac:dyDescent="0.3">
      <c r="B51" s="611"/>
      <c r="C51" s="34" t="s">
        <v>138</v>
      </c>
      <c r="D51" s="35" t="s">
        <v>139</v>
      </c>
      <c r="E51" s="25">
        <v>43038</v>
      </c>
      <c r="F51" s="25"/>
      <c r="G51" s="25"/>
      <c r="H51" s="25"/>
      <c r="I51" s="25"/>
      <c r="J51" s="25"/>
      <c r="K51" s="25"/>
      <c r="L51" s="25"/>
      <c r="M51" s="25"/>
      <c r="N51" s="25"/>
      <c r="O51" s="25">
        <f t="shared" si="2"/>
        <v>0</v>
      </c>
      <c r="P51" s="38"/>
    </row>
    <row r="52" spans="1:16" ht="13.95" customHeight="1" x14ac:dyDescent="0.25">
      <c r="B52" s="1" t="s">
        <v>140</v>
      </c>
      <c r="C52" s="34" t="s">
        <v>141</v>
      </c>
      <c r="D52" s="24" t="s">
        <v>142</v>
      </c>
      <c r="E52" s="43">
        <v>92071</v>
      </c>
      <c r="F52" s="43">
        <f t="shared" ref="F52:L52" si="17">F53+F54+F55</f>
        <v>5320740</v>
      </c>
      <c r="G52" s="43">
        <f t="shared" si="17"/>
        <v>0</v>
      </c>
      <c r="H52" s="43">
        <f t="shared" si="17"/>
        <v>0</v>
      </c>
      <c r="I52" s="43">
        <f>I53+I54+I55</f>
        <v>0</v>
      </c>
      <c r="J52" s="43">
        <f t="shared" si="17"/>
        <v>0</v>
      </c>
      <c r="K52" s="43">
        <f t="shared" si="17"/>
        <v>0</v>
      </c>
      <c r="L52" s="43">
        <f t="shared" si="17"/>
        <v>5320740</v>
      </c>
      <c r="M52" s="43">
        <f>M53+M54+M55</f>
        <v>5320740</v>
      </c>
      <c r="N52" s="43">
        <f>N53+N54+N55</f>
        <v>5320740</v>
      </c>
      <c r="O52" s="43">
        <f t="shared" si="2"/>
        <v>0</v>
      </c>
      <c r="P52" s="44"/>
    </row>
    <row r="53" spans="1:16" s="47" customFormat="1" ht="14.4" x14ac:dyDescent="0.3">
      <c r="A53" s="1" t="s">
        <v>123</v>
      </c>
      <c r="B53" s="611" t="s">
        <v>143</v>
      </c>
      <c r="C53" s="34" t="s">
        <v>144</v>
      </c>
      <c r="D53" s="35" t="s">
        <v>145</v>
      </c>
      <c r="E53" s="45">
        <v>10688</v>
      </c>
      <c r="F53" s="45">
        <f>482632/8*12</f>
        <v>723948</v>
      </c>
      <c r="G53" s="45"/>
      <c r="H53" s="45"/>
      <c r="I53" s="45"/>
      <c r="J53" s="45"/>
      <c r="K53" s="45"/>
      <c r="L53" s="45">
        <f>F53+G53+H53+I53+J53+K53</f>
        <v>723948</v>
      </c>
      <c r="M53" s="45">
        <v>723948</v>
      </c>
      <c r="N53" s="45">
        <f t="shared" ref="N53:N65" si="18">ROUND(M53,0)</f>
        <v>723948</v>
      </c>
      <c r="O53" s="45">
        <f t="shared" si="2"/>
        <v>0</v>
      </c>
      <c r="P53" s="46"/>
    </row>
    <row r="54" spans="1:16" s="47" customFormat="1" ht="14.4" x14ac:dyDescent="0.3">
      <c r="A54" s="1" t="s">
        <v>123</v>
      </c>
      <c r="B54" s="611" t="s">
        <v>146</v>
      </c>
      <c r="C54" s="34" t="s">
        <v>147</v>
      </c>
      <c r="D54" s="35" t="s">
        <v>148</v>
      </c>
      <c r="E54" s="45">
        <v>81383</v>
      </c>
      <c r="F54" s="45">
        <v>4279428</v>
      </c>
      <c r="G54" s="45"/>
      <c r="H54" s="45"/>
      <c r="I54" s="45"/>
      <c r="J54" s="45"/>
      <c r="K54" s="45"/>
      <c r="L54" s="45">
        <f>F54+G54+H54+I54+J54+K54</f>
        <v>4279428</v>
      </c>
      <c r="M54" s="45">
        <v>4279428</v>
      </c>
      <c r="N54" s="45">
        <f>ROUND(M54,0)</f>
        <v>4279428</v>
      </c>
      <c r="O54" s="45">
        <f t="shared" si="2"/>
        <v>0</v>
      </c>
      <c r="P54" s="46"/>
    </row>
    <row r="55" spans="1:16" s="47" customFormat="1" x14ac:dyDescent="0.25">
      <c r="A55" s="1" t="s">
        <v>123</v>
      </c>
      <c r="B55" s="1"/>
      <c r="C55" s="34" t="s">
        <v>149</v>
      </c>
      <c r="D55" s="35" t="s">
        <v>150</v>
      </c>
      <c r="E55" s="45"/>
      <c r="F55" s="45">
        <v>317364</v>
      </c>
      <c r="G55" s="45"/>
      <c r="H55" s="45"/>
      <c r="I55" s="45"/>
      <c r="J55" s="45"/>
      <c r="K55" s="45"/>
      <c r="L55" s="45">
        <f>F55+G55+H55+I55+J55+K55</f>
        <v>317364</v>
      </c>
      <c r="M55" s="45">
        <v>317364</v>
      </c>
      <c r="N55" s="45">
        <f t="shared" si="18"/>
        <v>317364</v>
      </c>
      <c r="O55" s="48">
        <f t="shared" si="2"/>
        <v>0</v>
      </c>
      <c r="P55" s="49"/>
    </row>
    <row r="56" spans="1:16" ht="31.5" customHeight="1" x14ac:dyDescent="0.25">
      <c r="A56" s="1" t="s">
        <v>123</v>
      </c>
      <c r="B56" s="1" t="s">
        <v>151</v>
      </c>
      <c r="C56" s="34" t="s">
        <v>152</v>
      </c>
      <c r="D56" s="24" t="s">
        <v>153</v>
      </c>
      <c r="E56" s="25"/>
      <c r="F56" s="25">
        <v>13088</v>
      </c>
      <c r="G56" s="25"/>
      <c r="H56" s="25"/>
      <c r="I56" s="25"/>
      <c r="J56" s="25"/>
      <c r="K56" s="25"/>
      <c r="L56" s="25">
        <f>F56+G56+H56+I56+J56+K56</f>
        <v>13088</v>
      </c>
      <c r="M56" s="25">
        <v>13088</v>
      </c>
      <c r="N56" s="25">
        <f t="shared" si="18"/>
        <v>13088</v>
      </c>
      <c r="O56" s="25">
        <f t="shared" si="2"/>
        <v>0</v>
      </c>
      <c r="P56" s="31"/>
    </row>
    <row r="57" spans="1:16" ht="19.2" customHeight="1" x14ac:dyDescent="0.3">
      <c r="A57" s="1" t="s">
        <v>123</v>
      </c>
      <c r="B57" s="611" t="s">
        <v>154</v>
      </c>
      <c r="C57" s="34" t="s">
        <v>155</v>
      </c>
      <c r="D57" s="24" t="s">
        <v>156</v>
      </c>
      <c r="E57" s="25">
        <v>54</v>
      </c>
      <c r="F57" s="25">
        <v>16104</v>
      </c>
      <c r="G57" s="25"/>
      <c r="H57" s="25"/>
      <c r="I57" s="25"/>
      <c r="J57" s="25"/>
      <c r="K57" s="25"/>
      <c r="L57" s="25">
        <f t="shared" ref="L57:L66" si="19">F57+G57+H57+I57+J57+K57</f>
        <v>16104</v>
      </c>
      <c r="M57" s="25">
        <v>16104</v>
      </c>
      <c r="N57" s="25">
        <f>ROUND(M57,0)-2011</f>
        <v>14093</v>
      </c>
      <c r="O57" s="25">
        <f t="shared" si="2"/>
        <v>-2011</v>
      </c>
      <c r="P57" s="26" t="s">
        <v>1020</v>
      </c>
    </row>
    <row r="58" spans="1:16" ht="19.2" customHeight="1" x14ac:dyDescent="0.3">
      <c r="B58" s="611"/>
      <c r="C58" s="34" t="s">
        <v>157</v>
      </c>
      <c r="D58" s="24" t="s">
        <v>158</v>
      </c>
      <c r="E58" s="25"/>
      <c r="F58" s="25">
        <f>6454-E58</f>
        <v>6454</v>
      </c>
      <c r="G58" s="25"/>
      <c r="H58" s="25"/>
      <c r="I58" s="25"/>
      <c r="J58" s="25"/>
      <c r="K58" s="25"/>
      <c r="L58" s="25">
        <f t="shared" si="19"/>
        <v>6454</v>
      </c>
      <c r="M58" s="25">
        <v>6454</v>
      </c>
      <c r="N58" s="25">
        <f>ROUND(M58,0)-2786</f>
        <v>3668</v>
      </c>
      <c r="O58" s="25">
        <f t="shared" si="2"/>
        <v>-2786</v>
      </c>
      <c r="P58" s="26" t="s">
        <v>1020</v>
      </c>
    </row>
    <row r="59" spans="1:16" ht="18.600000000000001" customHeight="1" x14ac:dyDescent="0.25">
      <c r="B59" s="1" t="s">
        <v>159</v>
      </c>
      <c r="C59" s="34" t="s">
        <v>160</v>
      </c>
      <c r="D59" s="24" t="s">
        <v>161</v>
      </c>
      <c r="E59" s="25"/>
      <c r="F59" s="25">
        <v>421092</v>
      </c>
      <c r="G59" s="25"/>
      <c r="H59" s="25"/>
      <c r="I59" s="25"/>
      <c r="J59" s="25"/>
      <c r="K59" s="25"/>
      <c r="L59" s="25">
        <f t="shared" si="19"/>
        <v>421092</v>
      </c>
      <c r="M59" s="25">
        <v>421092</v>
      </c>
      <c r="N59" s="25">
        <f t="shared" si="18"/>
        <v>421092</v>
      </c>
      <c r="O59" s="25">
        <f t="shared" si="2"/>
        <v>0</v>
      </c>
      <c r="P59" s="38"/>
    </row>
    <row r="60" spans="1:16" ht="31.5" customHeight="1" x14ac:dyDescent="0.25">
      <c r="C60" s="34" t="s">
        <v>162</v>
      </c>
      <c r="D60" s="24" t="s">
        <v>163</v>
      </c>
      <c r="E60" s="25"/>
      <c r="F60" s="25">
        <v>25954</v>
      </c>
      <c r="G60" s="25"/>
      <c r="H60" s="25"/>
      <c r="I60" s="25"/>
      <c r="J60" s="25"/>
      <c r="K60" s="25"/>
      <c r="L60" s="25">
        <f t="shared" si="19"/>
        <v>25954</v>
      </c>
      <c r="M60" s="25">
        <v>25954</v>
      </c>
      <c r="N60" s="25">
        <f t="shared" si="18"/>
        <v>25954</v>
      </c>
      <c r="O60" s="25">
        <f t="shared" si="2"/>
        <v>0</v>
      </c>
      <c r="P60" s="26"/>
    </row>
    <row r="61" spans="1:16" ht="31.5" customHeight="1" x14ac:dyDescent="0.25">
      <c r="C61" s="34"/>
      <c r="D61" s="24" t="s">
        <v>164</v>
      </c>
      <c r="E61" s="25">
        <v>72387</v>
      </c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6"/>
    </row>
    <row r="62" spans="1:16" ht="16.5" customHeight="1" x14ac:dyDescent="0.25">
      <c r="B62" s="50" t="s">
        <v>165</v>
      </c>
      <c r="C62" s="34" t="s">
        <v>166</v>
      </c>
      <c r="D62" s="51" t="s">
        <v>167</v>
      </c>
      <c r="E62" s="52">
        <v>6813</v>
      </c>
      <c r="F62" s="25">
        <v>342263</v>
      </c>
      <c r="G62" s="25"/>
      <c r="H62" s="25"/>
      <c r="I62" s="25"/>
      <c r="J62" s="25"/>
      <c r="K62" s="25"/>
      <c r="L62" s="25">
        <f t="shared" si="19"/>
        <v>342263</v>
      </c>
      <c r="M62" s="25">
        <v>342263</v>
      </c>
      <c r="N62" s="25">
        <f t="shared" si="18"/>
        <v>342263</v>
      </c>
      <c r="O62" s="25">
        <f t="shared" si="2"/>
        <v>0</v>
      </c>
      <c r="P62" s="26"/>
    </row>
    <row r="63" spans="1:16" ht="58.95" customHeight="1" x14ac:dyDescent="0.25">
      <c r="C63" s="34"/>
      <c r="D63" s="24" t="s">
        <v>1021</v>
      </c>
      <c r="E63" s="25">
        <v>6300</v>
      </c>
      <c r="F63" s="25"/>
      <c r="G63" s="25"/>
      <c r="H63" s="25"/>
      <c r="I63" s="25"/>
      <c r="J63" s="25"/>
      <c r="K63" s="25"/>
      <c r="L63" s="25">
        <f t="shared" si="19"/>
        <v>0</v>
      </c>
      <c r="M63" s="25">
        <v>0</v>
      </c>
      <c r="N63" s="25">
        <f t="shared" si="18"/>
        <v>0</v>
      </c>
      <c r="O63" s="25">
        <f t="shared" si="2"/>
        <v>0</v>
      </c>
      <c r="P63" s="38"/>
    </row>
    <row r="64" spans="1:16" ht="15.6" customHeight="1" x14ac:dyDescent="0.25">
      <c r="C64" s="34" t="s">
        <v>168</v>
      </c>
      <c r="D64" s="24" t="s">
        <v>169</v>
      </c>
      <c r="E64" s="25"/>
      <c r="F64" s="25">
        <v>50000</v>
      </c>
      <c r="G64" s="25"/>
      <c r="H64" s="25"/>
      <c r="I64" s="25"/>
      <c r="J64" s="25"/>
      <c r="K64" s="25"/>
      <c r="L64" s="25">
        <f t="shared" si="19"/>
        <v>50000</v>
      </c>
      <c r="M64" s="25">
        <v>50000</v>
      </c>
      <c r="N64" s="25">
        <f t="shared" si="18"/>
        <v>50000</v>
      </c>
      <c r="O64" s="25">
        <f t="shared" si="2"/>
        <v>0</v>
      </c>
      <c r="P64" s="38"/>
    </row>
    <row r="65" spans="1:16" ht="15.6" customHeight="1" x14ac:dyDescent="0.25">
      <c r="C65" s="34" t="s">
        <v>170</v>
      </c>
      <c r="D65" s="24" t="s">
        <v>171</v>
      </c>
      <c r="E65" s="25">
        <v>298343.78999999998</v>
      </c>
      <c r="F65" s="25">
        <v>400000</v>
      </c>
      <c r="G65" s="25"/>
      <c r="H65" s="25"/>
      <c r="I65" s="25"/>
      <c r="J65" s="25"/>
      <c r="K65" s="25"/>
      <c r="L65" s="53">
        <f t="shared" si="19"/>
        <v>400000</v>
      </c>
      <c r="M65" s="25">
        <v>400000</v>
      </c>
      <c r="N65" s="25">
        <f t="shared" si="18"/>
        <v>400000</v>
      </c>
      <c r="O65" s="25">
        <f t="shared" si="2"/>
        <v>0</v>
      </c>
      <c r="P65" s="38"/>
    </row>
    <row r="66" spans="1:16" ht="15.6" customHeight="1" x14ac:dyDescent="0.25">
      <c r="A66" s="50" t="s">
        <v>172</v>
      </c>
      <c r="B66" s="1" t="s">
        <v>173</v>
      </c>
      <c r="C66" s="34" t="s">
        <v>174</v>
      </c>
      <c r="D66" s="24" t="s">
        <v>175</v>
      </c>
      <c r="E66" s="25">
        <v>53227</v>
      </c>
      <c r="F66" s="25">
        <f>1200+(50000+73000)+13800</f>
        <v>138000</v>
      </c>
      <c r="G66" s="25"/>
      <c r="H66" s="25"/>
      <c r="I66" s="25"/>
      <c r="J66" s="25"/>
      <c r="K66" s="25"/>
      <c r="L66" s="25">
        <f t="shared" si="19"/>
        <v>138000</v>
      </c>
      <c r="M66" s="25">
        <v>138000</v>
      </c>
      <c r="N66" s="25">
        <f>ROUND(M66,0)</f>
        <v>138000</v>
      </c>
      <c r="O66" s="25">
        <f t="shared" si="2"/>
        <v>0</v>
      </c>
      <c r="P66" s="38"/>
    </row>
    <row r="67" spans="1:16" ht="32.25" customHeight="1" x14ac:dyDescent="0.25">
      <c r="C67" s="40" t="s">
        <v>176</v>
      </c>
      <c r="D67" s="41" t="s">
        <v>177</v>
      </c>
      <c r="E67" s="42">
        <v>615732.15</v>
      </c>
      <c r="F67" s="42">
        <f t="shared" ref="F67:M67" si="20">SUM(F68:F87)</f>
        <v>7417</v>
      </c>
      <c r="G67" s="42">
        <f t="shared" si="20"/>
        <v>1644824.49</v>
      </c>
      <c r="H67" s="42">
        <f t="shared" si="20"/>
        <v>0</v>
      </c>
      <c r="I67" s="42">
        <f t="shared" si="20"/>
        <v>0</v>
      </c>
      <c r="J67" s="42">
        <f t="shared" si="20"/>
        <v>0</v>
      </c>
      <c r="K67" s="42">
        <f t="shared" si="20"/>
        <v>0</v>
      </c>
      <c r="L67" s="42">
        <f t="shared" si="20"/>
        <v>1652241.49</v>
      </c>
      <c r="M67" s="42">
        <f t="shared" si="20"/>
        <v>1652241.49</v>
      </c>
      <c r="N67" s="42">
        <f>SUM(N68:N87)</f>
        <v>1652241</v>
      </c>
      <c r="O67" s="42">
        <f t="shared" si="2"/>
        <v>-0.48999999999068677</v>
      </c>
      <c r="P67" s="54"/>
    </row>
    <row r="68" spans="1:16" ht="14.4" x14ac:dyDescent="0.3">
      <c r="A68" s="1" t="s">
        <v>123</v>
      </c>
      <c r="B68" s="611" t="s">
        <v>178</v>
      </c>
      <c r="C68" s="34" t="s">
        <v>179</v>
      </c>
      <c r="D68" s="55" t="s">
        <v>180</v>
      </c>
      <c r="E68" s="25">
        <v>1214</v>
      </c>
      <c r="F68" s="25">
        <f>8631-E68</f>
        <v>7417</v>
      </c>
      <c r="G68" s="25"/>
      <c r="H68" s="25"/>
      <c r="I68" s="25"/>
      <c r="J68" s="25"/>
      <c r="K68" s="25"/>
      <c r="L68" s="25">
        <f t="shared" ref="L68:L88" si="21">F68+G68+H68+I68+J68+K68</f>
        <v>7417</v>
      </c>
      <c r="M68" s="25">
        <v>7417</v>
      </c>
      <c r="N68" s="25">
        <f t="shared" ref="N68:N88" si="22">ROUND(M68,0)</f>
        <v>7417</v>
      </c>
      <c r="O68" s="25">
        <f t="shared" si="2"/>
        <v>0</v>
      </c>
      <c r="P68" s="56"/>
    </row>
    <row r="69" spans="1:16" x14ac:dyDescent="0.25">
      <c r="A69" s="1" t="s">
        <v>181</v>
      </c>
      <c r="B69" s="1" t="s">
        <v>182</v>
      </c>
      <c r="C69" s="34" t="s">
        <v>183</v>
      </c>
      <c r="D69" s="55" t="s">
        <v>184</v>
      </c>
      <c r="E69" s="25">
        <v>90431.9</v>
      </c>
      <c r="F69" s="25"/>
      <c r="G69" s="25">
        <f>200271-E69</f>
        <v>109839.1</v>
      </c>
      <c r="H69" s="25"/>
      <c r="I69" s="25"/>
      <c r="J69" s="25"/>
      <c r="K69" s="25"/>
      <c r="L69" s="25">
        <f t="shared" si="21"/>
        <v>109839.1</v>
      </c>
      <c r="M69" s="25">
        <v>109839.1</v>
      </c>
      <c r="N69" s="25">
        <f t="shared" si="22"/>
        <v>109839</v>
      </c>
      <c r="O69" s="25">
        <f t="shared" si="2"/>
        <v>-0.10000000000582077</v>
      </c>
      <c r="P69" s="32"/>
    </row>
    <row r="70" spans="1:16" ht="27.6" x14ac:dyDescent="0.25">
      <c r="C70" s="34" t="s">
        <v>185</v>
      </c>
      <c r="D70" s="55" t="s">
        <v>186</v>
      </c>
      <c r="E70" s="25">
        <v>7821</v>
      </c>
      <c r="F70" s="25"/>
      <c r="G70" s="25"/>
      <c r="H70" s="25"/>
      <c r="I70" s="25"/>
      <c r="J70" s="25"/>
      <c r="K70" s="25"/>
      <c r="L70" s="25">
        <f t="shared" si="21"/>
        <v>0</v>
      </c>
      <c r="M70" s="25">
        <v>0</v>
      </c>
      <c r="N70" s="25">
        <f t="shared" si="22"/>
        <v>0</v>
      </c>
      <c r="O70" s="25">
        <f t="shared" si="2"/>
        <v>0</v>
      </c>
      <c r="P70" s="38"/>
    </row>
    <row r="71" spans="1:16" ht="41.4" x14ac:dyDescent="0.25">
      <c r="B71" s="1" t="s">
        <v>187</v>
      </c>
      <c r="C71" s="34" t="s">
        <v>188</v>
      </c>
      <c r="D71" s="55" t="s">
        <v>189</v>
      </c>
      <c r="E71" s="25">
        <v>71104</v>
      </c>
      <c r="F71" s="25"/>
      <c r="G71" s="25"/>
      <c r="H71" s="25"/>
      <c r="I71" s="25"/>
      <c r="J71" s="25"/>
      <c r="K71" s="25"/>
      <c r="L71" s="25">
        <f t="shared" si="21"/>
        <v>0</v>
      </c>
      <c r="M71" s="25">
        <v>0</v>
      </c>
      <c r="N71" s="25">
        <f t="shared" si="22"/>
        <v>0</v>
      </c>
      <c r="O71" s="25">
        <f t="shared" ref="O71:O125" si="23">N71-M71</f>
        <v>0</v>
      </c>
      <c r="P71" s="32"/>
    </row>
    <row r="72" spans="1:16" ht="41.4" x14ac:dyDescent="0.25">
      <c r="B72" s="1" t="s">
        <v>190</v>
      </c>
      <c r="C72" s="34" t="s">
        <v>191</v>
      </c>
      <c r="D72" s="55" t="s">
        <v>192</v>
      </c>
      <c r="E72" s="25">
        <v>42037.25</v>
      </c>
      <c r="F72" s="25"/>
      <c r="G72" s="25"/>
      <c r="H72" s="25"/>
      <c r="I72" s="25"/>
      <c r="J72" s="25"/>
      <c r="K72" s="25"/>
      <c r="L72" s="25">
        <f t="shared" si="21"/>
        <v>0</v>
      </c>
      <c r="M72" s="25">
        <v>0</v>
      </c>
      <c r="N72" s="25">
        <f t="shared" si="22"/>
        <v>0</v>
      </c>
      <c r="O72" s="25">
        <f t="shared" si="23"/>
        <v>0</v>
      </c>
      <c r="P72" s="33"/>
    </row>
    <row r="73" spans="1:16" ht="28.2" x14ac:dyDescent="0.3">
      <c r="B73" s="611" t="s">
        <v>193</v>
      </c>
      <c r="C73" s="34" t="s">
        <v>194</v>
      </c>
      <c r="D73" s="55" t="s">
        <v>195</v>
      </c>
      <c r="E73" s="25">
        <v>24529</v>
      </c>
      <c r="F73" s="25"/>
      <c r="G73" s="25">
        <f>46414+35300</f>
        <v>81714</v>
      </c>
      <c r="H73" s="25"/>
      <c r="I73" s="25"/>
      <c r="J73" s="25"/>
      <c r="K73" s="25"/>
      <c r="L73" s="25">
        <f t="shared" si="21"/>
        <v>81714</v>
      </c>
      <c r="M73" s="25">
        <v>81714</v>
      </c>
      <c r="N73" s="25">
        <f t="shared" si="22"/>
        <v>81714</v>
      </c>
      <c r="O73" s="25">
        <f t="shared" si="23"/>
        <v>0</v>
      </c>
      <c r="P73" s="57"/>
    </row>
    <row r="74" spans="1:16" ht="28.2" x14ac:dyDescent="0.3">
      <c r="B74" s="611"/>
      <c r="C74" s="34" t="s">
        <v>196</v>
      </c>
      <c r="D74" s="55" t="s">
        <v>197</v>
      </c>
      <c r="E74" s="25">
        <v>4454</v>
      </c>
      <c r="F74" s="25"/>
      <c r="G74" s="25">
        <f>121601-E74</f>
        <v>117147</v>
      </c>
      <c r="H74" s="25"/>
      <c r="I74" s="25"/>
      <c r="J74" s="25"/>
      <c r="K74" s="25"/>
      <c r="L74" s="25">
        <f t="shared" si="21"/>
        <v>117147</v>
      </c>
      <c r="M74" s="25">
        <v>117147</v>
      </c>
      <c r="N74" s="25">
        <f t="shared" si="22"/>
        <v>117147</v>
      </c>
      <c r="O74" s="25">
        <f t="shared" si="23"/>
        <v>0</v>
      </c>
      <c r="P74" s="57"/>
    </row>
    <row r="75" spans="1:16" ht="14.4" x14ac:dyDescent="0.3">
      <c r="B75" s="611"/>
      <c r="C75" s="34" t="s">
        <v>198</v>
      </c>
      <c r="D75" s="55" t="s">
        <v>199</v>
      </c>
      <c r="E75" s="25">
        <v>38723</v>
      </c>
      <c r="F75" s="25"/>
      <c r="G75" s="25">
        <f>330670-E75</f>
        <v>291947</v>
      </c>
      <c r="H75" s="25"/>
      <c r="I75" s="25"/>
      <c r="J75" s="25"/>
      <c r="K75" s="25">
        <f>[4]PIVOT_2023!H23</f>
        <v>0</v>
      </c>
      <c r="L75" s="25">
        <f t="shared" si="21"/>
        <v>291947</v>
      </c>
      <c r="M75" s="25">
        <v>291947</v>
      </c>
      <c r="N75" s="25">
        <f t="shared" si="22"/>
        <v>291947</v>
      </c>
      <c r="O75" s="25">
        <f t="shared" si="23"/>
        <v>0</v>
      </c>
      <c r="P75" s="57"/>
    </row>
    <row r="76" spans="1:16" ht="27.6" x14ac:dyDescent="0.25">
      <c r="A76" s="1" t="s">
        <v>200</v>
      </c>
      <c r="B76" s="58" t="s">
        <v>201</v>
      </c>
      <c r="C76" s="34" t="s">
        <v>202</v>
      </c>
      <c r="D76" s="55" t="s">
        <v>203</v>
      </c>
      <c r="E76" s="25">
        <v>7851</v>
      </c>
      <c r="F76" s="25"/>
      <c r="G76" s="25">
        <v>104321.39</v>
      </c>
      <c r="H76" s="25"/>
      <c r="I76" s="25"/>
      <c r="J76" s="25"/>
      <c r="K76" s="25"/>
      <c r="L76" s="25">
        <f t="shared" si="21"/>
        <v>104321.39</v>
      </c>
      <c r="M76" s="25">
        <v>104321.39</v>
      </c>
      <c r="N76" s="25">
        <f t="shared" si="22"/>
        <v>104321</v>
      </c>
      <c r="O76" s="25">
        <f t="shared" si="23"/>
        <v>-0.38999999999941792</v>
      </c>
      <c r="P76" s="57"/>
    </row>
    <row r="77" spans="1:16" x14ac:dyDescent="0.25">
      <c r="B77" s="50" t="s">
        <v>9</v>
      </c>
      <c r="C77" s="34" t="s">
        <v>204</v>
      </c>
      <c r="D77" s="59" t="s">
        <v>205</v>
      </c>
      <c r="E77" s="60"/>
      <c r="F77" s="25"/>
      <c r="G77" s="61">
        <v>40898</v>
      </c>
      <c r="H77" s="25"/>
      <c r="I77" s="25"/>
      <c r="J77" s="25"/>
      <c r="K77" s="25"/>
      <c r="L77" s="25">
        <f t="shared" si="21"/>
        <v>40898</v>
      </c>
      <c r="M77" s="25">
        <v>40898</v>
      </c>
      <c r="N77" s="25">
        <f t="shared" si="22"/>
        <v>40898</v>
      </c>
      <c r="O77" s="25">
        <f t="shared" si="23"/>
        <v>0</v>
      </c>
      <c r="P77" s="57"/>
    </row>
    <row r="78" spans="1:16" ht="28.2" outlineLevel="1" x14ac:dyDescent="0.3">
      <c r="B78" s="611"/>
      <c r="C78" s="34" t="s">
        <v>206</v>
      </c>
      <c r="D78" s="55" t="s">
        <v>207</v>
      </c>
      <c r="E78" s="25">
        <v>1049</v>
      </c>
      <c r="F78" s="25"/>
      <c r="G78" s="25"/>
      <c r="H78" s="25"/>
      <c r="I78" s="25"/>
      <c r="J78" s="25"/>
      <c r="K78" s="25"/>
      <c r="L78" s="25">
        <f t="shared" si="21"/>
        <v>0</v>
      </c>
      <c r="M78" s="25">
        <v>0</v>
      </c>
      <c r="N78" s="25">
        <f t="shared" si="22"/>
        <v>0</v>
      </c>
      <c r="O78" s="25">
        <f t="shared" si="23"/>
        <v>0</v>
      </c>
      <c r="P78" s="57"/>
    </row>
    <row r="79" spans="1:16" ht="28.2" outlineLevel="1" x14ac:dyDescent="0.3">
      <c r="B79" s="611"/>
      <c r="C79" s="34" t="s">
        <v>208</v>
      </c>
      <c r="D79" s="55" t="s">
        <v>209</v>
      </c>
      <c r="E79" s="25">
        <v>16292</v>
      </c>
      <c r="F79" s="25"/>
      <c r="G79" s="25"/>
      <c r="H79" s="25"/>
      <c r="I79" s="25"/>
      <c r="J79" s="25"/>
      <c r="K79" s="25"/>
      <c r="L79" s="25">
        <f t="shared" si="21"/>
        <v>0</v>
      </c>
      <c r="M79" s="25">
        <v>0</v>
      </c>
      <c r="N79" s="25">
        <f t="shared" si="22"/>
        <v>0</v>
      </c>
      <c r="O79" s="25">
        <f t="shared" si="23"/>
        <v>0</v>
      </c>
      <c r="P79" s="57"/>
    </row>
    <row r="80" spans="1:16" ht="14.4" outlineLevel="1" x14ac:dyDescent="0.3">
      <c r="B80" s="611"/>
      <c r="C80" s="34" t="s">
        <v>210</v>
      </c>
      <c r="D80" s="59" t="s">
        <v>211</v>
      </c>
      <c r="E80" s="25"/>
      <c r="F80" s="25"/>
      <c r="G80" s="25">
        <v>202410</v>
      </c>
      <c r="H80" s="25"/>
      <c r="I80" s="25"/>
      <c r="J80" s="25"/>
      <c r="K80" s="25"/>
      <c r="L80" s="25">
        <f t="shared" si="21"/>
        <v>202410</v>
      </c>
      <c r="M80" s="25">
        <v>202410</v>
      </c>
      <c r="N80" s="25">
        <f t="shared" si="22"/>
        <v>202410</v>
      </c>
      <c r="O80" s="25">
        <f t="shared" si="23"/>
        <v>0</v>
      </c>
      <c r="P80" s="57"/>
    </row>
    <row r="81" spans="1:16" ht="28.2" x14ac:dyDescent="0.3">
      <c r="B81" s="611"/>
      <c r="C81" s="34" t="s">
        <v>212</v>
      </c>
      <c r="D81" s="55" t="s">
        <v>213</v>
      </c>
      <c r="E81" s="25">
        <v>15704</v>
      </c>
      <c r="F81" s="25"/>
      <c r="G81" s="25"/>
      <c r="H81" s="25"/>
      <c r="I81" s="25"/>
      <c r="J81" s="25"/>
      <c r="K81" s="25"/>
      <c r="L81" s="25">
        <f t="shared" si="21"/>
        <v>0</v>
      </c>
      <c r="M81" s="25">
        <v>0</v>
      </c>
      <c r="N81" s="25">
        <f t="shared" si="22"/>
        <v>0</v>
      </c>
      <c r="O81" s="25">
        <f t="shared" si="23"/>
        <v>0</v>
      </c>
      <c r="P81" s="57"/>
    </row>
    <row r="82" spans="1:16" ht="14.4" x14ac:dyDescent="0.3">
      <c r="B82" s="611"/>
      <c r="C82" s="34" t="s">
        <v>214</v>
      </c>
      <c r="D82" s="55" t="s">
        <v>215</v>
      </c>
      <c r="E82" s="25">
        <v>294522</v>
      </c>
      <c r="F82" s="25"/>
      <c r="G82" s="25">
        <v>2464</v>
      </c>
      <c r="H82" s="25"/>
      <c r="I82" s="25"/>
      <c r="J82" s="25"/>
      <c r="K82" s="25"/>
      <c r="L82" s="25">
        <f t="shared" si="21"/>
        <v>2464</v>
      </c>
      <c r="M82" s="25">
        <v>2464</v>
      </c>
      <c r="N82" s="25">
        <f t="shared" si="22"/>
        <v>2464</v>
      </c>
      <c r="O82" s="25">
        <f t="shared" si="23"/>
        <v>0</v>
      </c>
      <c r="P82" s="57"/>
    </row>
    <row r="83" spans="1:16" ht="28.95" customHeight="1" x14ac:dyDescent="0.3">
      <c r="B83" s="611"/>
      <c r="C83" s="34" t="s">
        <v>216</v>
      </c>
      <c r="D83" s="55" t="s">
        <v>217</v>
      </c>
      <c r="E83" s="25"/>
      <c r="F83" s="25"/>
      <c r="G83" s="25"/>
      <c r="H83" s="25"/>
      <c r="I83" s="25"/>
      <c r="J83" s="25"/>
      <c r="K83" s="25"/>
      <c r="L83" s="25">
        <f t="shared" si="21"/>
        <v>0</v>
      </c>
      <c r="M83" s="25">
        <v>0</v>
      </c>
      <c r="N83" s="25">
        <f t="shared" si="22"/>
        <v>0</v>
      </c>
      <c r="O83" s="25">
        <f t="shared" si="23"/>
        <v>0</v>
      </c>
      <c r="P83" s="57"/>
    </row>
    <row r="84" spans="1:16" ht="14.4" x14ac:dyDescent="0.3">
      <c r="B84" s="611"/>
      <c r="C84" s="34" t="s">
        <v>218</v>
      </c>
      <c r="D84" s="55" t="s">
        <v>219</v>
      </c>
      <c r="E84" s="25"/>
      <c r="F84" s="25"/>
      <c r="G84" s="25"/>
      <c r="H84" s="25"/>
      <c r="I84" s="25"/>
      <c r="J84" s="25"/>
      <c r="K84" s="25"/>
      <c r="L84" s="25">
        <f t="shared" si="21"/>
        <v>0</v>
      </c>
      <c r="M84" s="25">
        <v>0</v>
      </c>
      <c r="N84" s="25">
        <f t="shared" si="22"/>
        <v>0</v>
      </c>
      <c r="O84" s="25">
        <f t="shared" si="23"/>
        <v>0</v>
      </c>
      <c r="P84" s="57"/>
    </row>
    <row r="85" spans="1:16" ht="28.2" x14ac:dyDescent="0.3">
      <c r="B85" s="611"/>
      <c r="C85" s="34" t="s">
        <v>220</v>
      </c>
      <c r="D85" s="55" t="s">
        <v>221</v>
      </c>
      <c r="E85" s="25"/>
      <c r="F85" s="25"/>
      <c r="G85" s="25">
        <v>14100</v>
      </c>
      <c r="H85" s="25"/>
      <c r="I85" s="25"/>
      <c r="J85" s="25"/>
      <c r="K85" s="25"/>
      <c r="L85" s="25">
        <f t="shared" si="21"/>
        <v>14100</v>
      </c>
      <c r="M85" s="25">
        <v>14100</v>
      </c>
      <c r="N85" s="25">
        <f t="shared" si="22"/>
        <v>14100</v>
      </c>
      <c r="O85" s="25">
        <f t="shared" si="23"/>
        <v>0</v>
      </c>
      <c r="P85" s="57"/>
    </row>
    <row r="86" spans="1:16" ht="14.4" x14ac:dyDescent="0.3">
      <c r="B86" s="611"/>
      <c r="C86" s="34" t="s">
        <v>222</v>
      </c>
      <c r="D86" s="62" t="s">
        <v>223</v>
      </c>
      <c r="E86" s="25"/>
      <c r="F86" s="25"/>
      <c r="G86" s="25">
        <v>382739</v>
      </c>
      <c r="H86" s="25"/>
      <c r="I86" s="25"/>
      <c r="J86" s="25"/>
      <c r="K86" s="25"/>
      <c r="L86" s="25">
        <f t="shared" si="21"/>
        <v>382739</v>
      </c>
      <c r="M86" s="25">
        <v>382739</v>
      </c>
      <c r="N86" s="25">
        <f t="shared" si="22"/>
        <v>382739</v>
      </c>
      <c r="O86" s="25">
        <f t="shared" si="23"/>
        <v>0</v>
      </c>
      <c r="P86" s="57"/>
    </row>
    <row r="87" spans="1:16" ht="16.95" customHeight="1" x14ac:dyDescent="0.3">
      <c r="B87" s="611"/>
      <c r="C87" s="34" t="s">
        <v>224</v>
      </c>
      <c r="D87" s="62" t="s">
        <v>225</v>
      </c>
      <c r="E87" s="25"/>
      <c r="F87" s="25"/>
      <c r="G87" s="25">
        <v>297245</v>
      </c>
      <c r="H87" s="25"/>
      <c r="I87" s="25"/>
      <c r="J87" s="25"/>
      <c r="K87" s="25"/>
      <c r="L87" s="25">
        <f t="shared" si="21"/>
        <v>297245</v>
      </c>
      <c r="M87" s="25">
        <v>297245</v>
      </c>
      <c r="N87" s="25">
        <f t="shared" si="22"/>
        <v>297245</v>
      </c>
      <c r="O87" s="25">
        <f t="shared" si="23"/>
        <v>0</v>
      </c>
      <c r="P87" s="57"/>
    </row>
    <row r="88" spans="1:16" x14ac:dyDescent="0.25">
      <c r="B88" s="1" t="s">
        <v>226</v>
      </c>
      <c r="C88" s="23" t="s">
        <v>227</v>
      </c>
      <c r="D88" s="63" t="s">
        <v>228</v>
      </c>
      <c r="E88" s="25"/>
      <c r="F88" s="25"/>
      <c r="G88" s="25"/>
      <c r="H88" s="25"/>
      <c r="I88" s="25"/>
      <c r="J88" s="25"/>
      <c r="K88" s="25"/>
      <c r="L88" s="25">
        <f t="shared" si="21"/>
        <v>0</v>
      </c>
      <c r="M88" s="25">
        <v>0</v>
      </c>
      <c r="N88" s="25">
        <f t="shared" si="22"/>
        <v>0</v>
      </c>
      <c r="O88" s="25">
        <f t="shared" si="23"/>
        <v>0</v>
      </c>
      <c r="P88" s="26"/>
    </row>
    <row r="89" spans="1:16" x14ac:dyDescent="0.25">
      <c r="C89" s="39" t="s">
        <v>229</v>
      </c>
      <c r="D89" s="28" t="s">
        <v>230</v>
      </c>
      <c r="E89" s="29">
        <v>0</v>
      </c>
      <c r="F89" s="29">
        <f t="shared" ref="F89:L89" si="24">F90+F91</f>
        <v>0</v>
      </c>
      <c r="G89" s="29">
        <f t="shared" si="24"/>
        <v>0</v>
      </c>
      <c r="H89" s="29">
        <f t="shared" si="24"/>
        <v>0</v>
      </c>
      <c r="I89" s="29">
        <f>I90+I91</f>
        <v>0</v>
      </c>
      <c r="J89" s="29">
        <f t="shared" si="24"/>
        <v>0</v>
      </c>
      <c r="K89" s="29">
        <f t="shared" si="24"/>
        <v>295000</v>
      </c>
      <c r="L89" s="29">
        <f t="shared" si="24"/>
        <v>295000</v>
      </c>
      <c r="M89" s="29">
        <f>M90+M91</f>
        <v>295000</v>
      </c>
      <c r="N89" s="29">
        <f>N90+N91</f>
        <v>295000</v>
      </c>
      <c r="O89" s="29">
        <f t="shared" si="23"/>
        <v>0</v>
      </c>
      <c r="P89" s="30"/>
    </row>
    <row r="90" spans="1:16" ht="27.6" customHeight="1" x14ac:dyDescent="0.25">
      <c r="B90" s="1" t="s">
        <v>231</v>
      </c>
      <c r="C90" s="23" t="s">
        <v>232</v>
      </c>
      <c r="D90" s="24" t="s">
        <v>233</v>
      </c>
      <c r="E90" s="25"/>
      <c r="F90" s="25"/>
      <c r="G90" s="25"/>
      <c r="H90" s="25"/>
      <c r="I90" s="25"/>
      <c r="J90" s="25"/>
      <c r="K90" s="25">
        <f>[4]PIVOT_2023!H25</f>
        <v>295000</v>
      </c>
      <c r="L90" s="25">
        <f>F90+G90+H90+I90+J90+K90</f>
        <v>295000</v>
      </c>
      <c r="M90" s="25">
        <v>295000</v>
      </c>
      <c r="N90" s="25">
        <f>ROUND(M90,0)</f>
        <v>295000</v>
      </c>
      <c r="O90" s="25">
        <f t="shared" si="23"/>
        <v>0</v>
      </c>
      <c r="P90" s="38"/>
    </row>
    <row r="91" spans="1:16" ht="16.2" customHeight="1" x14ac:dyDescent="0.25">
      <c r="B91" s="1" t="s">
        <v>234</v>
      </c>
      <c r="C91" s="23" t="s">
        <v>235</v>
      </c>
      <c r="D91" s="24" t="s">
        <v>236</v>
      </c>
      <c r="E91" s="25"/>
      <c r="F91" s="25"/>
      <c r="G91" s="25"/>
      <c r="H91" s="25"/>
      <c r="I91" s="25"/>
      <c r="J91" s="25"/>
      <c r="K91" s="25">
        <f>[4]PIVOT_2023!H26</f>
        <v>0</v>
      </c>
      <c r="L91" s="25">
        <f>F91+G91+H91+I91+J91+K91</f>
        <v>0</v>
      </c>
      <c r="M91" s="25">
        <v>0</v>
      </c>
      <c r="N91" s="25">
        <f>ROUND(M91,0)</f>
        <v>0</v>
      </c>
      <c r="O91" s="25">
        <f t="shared" si="23"/>
        <v>0</v>
      </c>
      <c r="P91" s="26"/>
    </row>
    <row r="92" spans="1:16" ht="35.4" customHeight="1" x14ac:dyDescent="0.25">
      <c r="C92" s="39" t="s">
        <v>237</v>
      </c>
      <c r="D92" s="28" t="s">
        <v>238</v>
      </c>
      <c r="E92" s="29">
        <v>36140</v>
      </c>
      <c r="F92" s="29">
        <f t="shared" ref="F92:N92" si="25">F93+F96+F99+F103+F107</f>
        <v>0</v>
      </c>
      <c r="G92" s="29">
        <f t="shared" si="25"/>
        <v>0</v>
      </c>
      <c r="H92" s="29">
        <f t="shared" si="25"/>
        <v>0</v>
      </c>
      <c r="I92" s="29">
        <f t="shared" si="25"/>
        <v>3813551</v>
      </c>
      <c r="J92" s="29">
        <f t="shared" si="25"/>
        <v>0</v>
      </c>
      <c r="K92" s="29">
        <f>K93+K96+K99+K103+K107</f>
        <v>420500</v>
      </c>
      <c r="L92" s="29">
        <f t="shared" si="25"/>
        <v>4234051</v>
      </c>
      <c r="M92" s="29">
        <f t="shared" si="25"/>
        <v>4234051</v>
      </c>
      <c r="N92" s="29">
        <f t="shared" si="25"/>
        <v>4234051</v>
      </c>
      <c r="O92" s="29">
        <f t="shared" si="23"/>
        <v>0</v>
      </c>
      <c r="P92" s="30"/>
    </row>
    <row r="93" spans="1:16" x14ac:dyDescent="0.25">
      <c r="A93" s="1" t="s">
        <v>19</v>
      </c>
      <c r="B93" s="1" t="s">
        <v>239</v>
      </c>
      <c r="C93" s="23" t="s">
        <v>240</v>
      </c>
      <c r="D93" s="24" t="s">
        <v>241</v>
      </c>
      <c r="E93" s="25">
        <v>0</v>
      </c>
      <c r="F93" s="25">
        <f t="shared" ref="F93:L93" si="26">SUM(F94:F95)</f>
        <v>0</v>
      </c>
      <c r="G93" s="25">
        <f t="shared" si="26"/>
        <v>0</v>
      </c>
      <c r="H93" s="25">
        <f t="shared" si="26"/>
        <v>0</v>
      </c>
      <c r="I93" s="25">
        <f>SUM(I94:I95)</f>
        <v>0</v>
      </c>
      <c r="J93" s="25">
        <f t="shared" si="26"/>
        <v>0</v>
      </c>
      <c r="K93" s="25">
        <f t="shared" si="26"/>
        <v>149000</v>
      </c>
      <c r="L93" s="25">
        <f t="shared" si="26"/>
        <v>149000</v>
      </c>
      <c r="M93" s="25">
        <f>SUM(M94:M95)</f>
        <v>149000</v>
      </c>
      <c r="N93" s="25">
        <f>SUM(N94:N95)</f>
        <v>149000</v>
      </c>
      <c r="O93" s="25">
        <f t="shared" si="23"/>
        <v>0</v>
      </c>
      <c r="P93" s="26"/>
    </row>
    <row r="94" spans="1:16" ht="14.25" customHeight="1" x14ac:dyDescent="0.25">
      <c r="B94" s="1" t="s">
        <v>242</v>
      </c>
      <c r="C94" s="64" t="s">
        <v>243</v>
      </c>
      <c r="D94" s="65" t="s">
        <v>244</v>
      </c>
      <c r="E94" s="25"/>
      <c r="F94" s="25"/>
      <c r="G94" s="25"/>
      <c r="H94" s="25"/>
      <c r="I94" s="25"/>
      <c r="J94" s="25"/>
      <c r="K94" s="25">
        <f>[4]PIVOT_2023!H29</f>
        <v>24000</v>
      </c>
      <c r="L94" s="25">
        <f>F94+G94+H94+I94+J94+K94</f>
        <v>24000</v>
      </c>
      <c r="M94" s="25">
        <v>24000</v>
      </c>
      <c r="N94" s="25">
        <f>ROUND(M94,0)</f>
        <v>24000</v>
      </c>
      <c r="O94" s="25">
        <f t="shared" si="23"/>
        <v>0</v>
      </c>
      <c r="P94" s="31"/>
    </row>
    <row r="95" spans="1:16" ht="15.6" customHeight="1" x14ac:dyDescent="0.25">
      <c r="B95" s="1" t="s">
        <v>245</v>
      </c>
      <c r="C95" s="64" t="s">
        <v>246</v>
      </c>
      <c r="D95" s="65" t="s">
        <v>247</v>
      </c>
      <c r="E95" s="25"/>
      <c r="F95" s="25"/>
      <c r="G95" s="25"/>
      <c r="H95" s="25"/>
      <c r="I95" s="25"/>
      <c r="J95" s="25"/>
      <c r="K95" s="25">
        <f>[4]PIVOT_2023!H30</f>
        <v>125000</v>
      </c>
      <c r="L95" s="25">
        <f>F95+G95+H95+I95+J95+K95</f>
        <v>125000</v>
      </c>
      <c r="M95" s="25">
        <v>125000</v>
      </c>
      <c r="N95" s="25">
        <f>ROUND(M95,0)</f>
        <v>125000</v>
      </c>
      <c r="O95" s="25">
        <f t="shared" si="23"/>
        <v>0</v>
      </c>
      <c r="P95" s="31"/>
    </row>
    <row r="96" spans="1:16" ht="13.95" customHeight="1" x14ac:dyDescent="0.25">
      <c r="C96" s="23" t="s">
        <v>248</v>
      </c>
      <c r="D96" s="24" t="s">
        <v>249</v>
      </c>
      <c r="E96" s="25">
        <v>36140</v>
      </c>
      <c r="F96" s="25">
        <f t="shared" ref="F96:L96" si="27">F97+F98</f>
        <v>0</v>
      </c>
      <c r="G96" s="25">
        <f t="shared" si="27"/>
        <v>0</v>
      </c>
      <c r="H96" s="25">
        <f t="shared" si="27"/>
        <v>0</v>
      </c>
      <c r="I96" s="25">
        <f>I97+I98</f>
        <v>0</v>
      </c>
      <c r="J96" s="25">
        <f t="shared" si="27"/>
        <v>0</v>
      </c>
      <c r="K96" s="25">
        <f t="shared" si="27"/>
        <v>0</v>
      </c>
      <c r="L96" s="25">
        <f t="shared" si="27"/>
        <v>0</v>
      </c>
      <c r="M96" s="25">
        <f>M97+M98</f>
        <v>0</v>
      </c>
      <c r="N96" s="25">
        <f>N97+N98</f>
        <v>0</v>
      </c>
      <c r="O96" s="25">
        <f t="shared" si="23"/>
        <v>0</v>
      </c>
      <c r="P96" s="66"/>
    </row>
    <row r="97" spans="1:18" x14ac:dyDescent="0.25">
      <c r="C97" s="64" t="s">
        <v>250</v>
      </c>
      <c r="D97" s="65" t="s">
        <v>251</v>
      </c>
      <c r="E97" s="25">
        <v>32020</v>
      </c>
      <c r="F97" s="25"/>
      <c r="G97" s="25"/>
      <c r="H97" s="25"/>
      <c r="I97" s="25"/>
      <c r="J97" s="25"/>
      <c r="K97" s="25">
        <f>[4]PIVOT_2023!H32</f>
        <v>0</v>
      </c>
      <c r="L97" s="25">
        <f>F97+G97+H97+I97+J97+K97</f>
        <v>0</v>
      </c>
      <c r="M97" s="25">
        <v>0</v>
      </c>
      <c r="N97" s="25"/>
      <c r="O97" s="25">
        <f t="shared" si="23"/>
        <v>0</v>
      </c>
      <c r="P97" s="31"/>
    </row>
    <row r="98" spans="1:18" ht="30" customHeight="1" x14ac:dyDescent="0.25">
      <c r="B98" s="50" t="s">
        <v>252</v>
      </c>
      <c r="C98" s="64" t="s">
        <v>253</v>
      </c>
      <c r="D98" s="55" t="s">
        <v>254</v>
      </c>
      <c r="E98" s="25">
        <v>4120</v>
      </c>
      <c r="F98" s="25"/>
      <c r="G98" s="25"/>
      <c r="H98" s="25"/>
      <c r="I98" s="25"/>
      <c r="J98" s="25"/>
      <c r="K98" s="25">
        <f>[4]PIVOT_2023!H33</f>
        <v>0</v>
      </c>
      <c r="L98" s="25">
        <f>F98+G98+H98+I98+J98+K98</f>
        <v>0</v>
      </c>
      <c r="M98" s="25">
        <v>0</v>
      </c>
      <c r="N98" s="25">
        <f>ROUND(M98,0)</f>
        <v>0</v>
      </c>
      <c r="O98" s="25">
        <f t="shared" si="23"/>
        <v>0</v>
      </c>
      <c r="P98" s="31"/>
    </row>
    <row r="99" spans="1:18" x14ac:dyDescent="0.25">
      <c r="A99" s="1" t="s">
        <v>19</v>
      </c>
      <c r="B99" s="1" t="s">
        <v>255</v>
      </c>
      <c r="C99" s="23" t="s">
        <v>256</v>
      </c>
      <c r="D99" s="24" t="s">
        <v>257</v>
      </c>
      <c r="E99" s="25">
        <v>0</v>
      </c>
      <c r="F99" s="25">
        <f t="shared" ref="F99:L99" si="28">SUM(F100:F102)</f>
        <v>0</v>
      </c>
      <c r="G99" s="25">
        <f t="shared" si="28"/>
        <v>0</v>
      </c>
      <c r="H99" s="25">
        <f t="shared" si="28"/>
        <v>0</v>
      </c>
      <c r="I99" s="25">
        <f>SUM(I100:I102)</f>
        <v>0</v>
      </c>
      <c r="J99" s="25">
        <f t="shared" si="28"/>
        <v>0</v>
      </c>
      <c r="K99" s="25">
        <f t="shared" si="28"/>
        <v>157000</v>
      </c>
      <c r="L99" s="25">
        <f t="shared" si="28"/>
        <v>157000</v>
      </c>
      <c r="M99" s="25">
        <f>SUM(M100:M102)</f>
        <v>157000</v>
      </c>
      <c r="N99" s="25">
        <f>SUM(N100:N102)</f>
        <v>157000</v>
      </c>
      <c r="O99" s="25">
        <f t="shared" si="23"/>
        <v>0</v>
      </c>
      <c r="P99" s="26"/>
    </row>
    <row r="100" spans="1:18" ht="15.75" customHeight="1" x14ac:dyDescent="0.25">
      <c r="B100" s="1" t="s">
        <v>258</v>
      </c>
      <c r="C100" s="64" t="s">
        <v>259</v>
      </c>
      <c r="D100" s="65" t="s">
        <v>260</v>
      </c>
      <c r="E100" s="25"/>
      <c r="F100" s="25"/>
      <c r="G100" s="25"/>
      <c r="H100" s="25"/>
      <c r="I100" s="25"/>
      <c r="J100" s="25"/>
      <c r="K100" s="25">
        <f>[4]PIVOT_2023!H35</f>
        <v>120000</v>
      </c>
      <c r="L100" s="25">
        <f>F100+G100+H100+I100+J100+K100</f>
        <v>120000</v>
      </c>
      <c r="M100" s="25">
        <v>120000</v>
      </c>
      <c r="N100" s="25">
        <f>ROUND(M100,0)</f>
        <v>120000</v>
      </c>
      <c r="O100" s="25">
        <f t="shared" si="23"/>
        <v>0</v>
      </c>
      <c r="P100" s="38"/>
    </row>
    <row r="101" spans="1:18" x14ac:dyDescent="0.25">
      <c r="B101" s="1" t="s">
        <v>261</v>
      </c>
      <c r="C101" s="64" t="s">
        <v>262</v>
      </c>
      <c r="D101" s="65" t="s">
        <v>263</v>
      </c>
      <c r="E101" s="25"/>
      <c r="F101" s="25"/>
      <c r="G101" s="25"/>
      <c r="H101" s="25"/>
      <c r="I101" s="25"/>
      <c r="J101" s="25"/>
      <c r="K101" s="25">
        <f>[4]PIVOT_2023!H36</f>
        <v>36000</v>
      </c>
      <c r="L101" s="25">
        <f>F101+G101+H101+I101+J101+K101</f>
        <v>36000</v>
      </c>
      <c r="M101" s="25">
        <v>36000</v>
      </c>
      <c r="N101" s="25">
        <f>ROUND(M101,0)</f>
        <v>36000</v>
      </c>
      <c r="O101" s="25">
        <f t="shared" si="23"/>
        <v>0</v>
      </c>
      <c r="P101" s="26"/>
    </row>
    <row r="102" spans="1:18" x14ac:dyDescent="0.25">
      <c r="C102" s="64" t="s">
        <v>264</v>
      </c>
      <c r="D102" s="55" t="s">
        <v>265</v>
      </c>
      <c r="E102" s="25"/>
      <c r="F102" s="25"/>
      <c r="G102" s="25"/>
      <c r="H102" s="25"/>
      <c r="I102" s="25"/>
      <c r="J102" s="25"/>
      <c r="K102" s="25">
        <f>[4]PIVOT_2023!H37</f>
        <v>1000</v>
      </c>
      <c r="L102" s="25">
        <f>F102+G102+H102+I102+J102+K102</f>
        <v>1000</v>
      </c>
      <c r="M102" s="25">
        <v>1000</v>
      </c>
      <c r="N102" s="25">
        <f>ROUND(M102,0)</f>
        <v>1000</v>
      </c>
      <c r="O102" s="25">
        <f t="shared" si="23"/>
        <v>0</v>
      </c>
      <c r="P102" s="26"/>
    </row>
    <row r="103" spans="1:18" ht="25.2" customHeight="1" x14ac:dyDescent="0.25">
      <c r="A103" s="1" t="s">
        <v>19</v>
      </c>
      <c r="B103" s="1" t="s">
        <v>266</v>
      </c>
      <c r="C103" s="23" t="s">
        <v>267</v>
      </c>
      <c r="D103" s="24" t="s">
        <v>268</v>
      </c>
      <c r="E103" s="25">
        <v>0</v>
      </c>
      <c r="F103" s="25">
        <f t="shared" ref="F103:N103" si="29">SUM(F104:F106)</f>
        <v>0</v>
      </c>
      <c r="G103" s="25">
        <f t="shared" si="29"/>
        <v>0</v>
      </c>
      <c r="H103" s="25">
        <f t="shared" si="29"/>
        <v>0</v>
      </c>
      <c r="I103" s="25">
        <f t="shared" si="29"/>
        <v>3713551</v>
      </c>
      <c r="J103" s="25">
        <f t="shared" si="29"/>
        <v>0</v>
      </c>
      <c r="K103" s="25">
        <f t="shared" si="29"/>
        <v>112500</v>
      </c>
      <c r="L103" s="25">
        <f t="shared" si="29"/>
        <v>3826051</v>
      </c>
      <c r="M103" s="25">
        <f t="shared" si="29"/>
        <v>3826051</v>
      </c>
      <c r="N103" s="25">
        <f t="shared" si="29"/>
        <v>3826051</v>
      </c>
      <c r="O103" s="25">
        <f t="shared" si="23"/>
        <v>0</v>
      </c>
      <c r="P103" s="38"/>
    </row>
    <row r="104" spans="1:18" ht="16.5" customHeight="1" x14ac:dyDescent="0.25">
      <c r="A104" s="50" t="s">
        <v>269</v>
      </c>
      <c r="C104" s="64" t="s">
        <v>270</v>
      </c>
      <c r="D104" s="65" t="s">
        <v>268</v>
      </c>
      <c r="E104" s="25"/>
      <c r="F104" s="25"/>
      <c r="G104" s="25"/>
      <c r="H104" s="25"/>
      <c r="I104" s="25"/>
      <c r="J104" s="25"/>
      <c r="K104" s="25">
        <f>[4]PIVOT_2023!H39</f>
        <v>110000</v>
      </c>
      <c r="L104" s="25">
        <f t="shared" ref="L104:L107" si="30">F104+G104+H104+I104+J104+K104</f>
        <v>110000</v>
      </c>
      <c r="M104" s="25">
        <v>110000</v>
      </c>
      <c r="N104" s="25">
        <f t="shared" ref="N104:N107" si="31">ROUND(M104,0)</f>
        <v>110000</v>
      </c>
      <c r="O104" s="25">
        <f t="shared" si="23"/>
        <v>0</v>
      </c>
      <c r="P104" s="26"/>
    </row>
    <row r="105" spans="1:18" ht="16.5" customHeight="1" x14ac:dyDescent="0.25">
      <c r="C105" s="64" t="s">
        <v>271</v>
      </c>
      <c r="D105" s="65" t="s">
        <v>272</v>
      </c>
      <c r="E105" s="25"/>
      <c r="F105" s="25"/>
      <c r="G105" s="25"/>
      <c r="H105" s="25"/>
      <c r="I105" s="25"/>
      <c r="J105" s="25"/>
      <c r="K105" s="25">
        <f>[4]PIVOT_2023!H40</f>
        <v>2500</v>
      </c>
      <c r="L105" s="25">
        <f t="shared" si="30"/>
        <v>2500</v>
      </c>
      <c r="M105" s="25">
        <v>2500</v>
      </c>
      <c r="N105" s="25">
        <f t="shared" si="31"/>
        <v>2500</v>
      </c>
      <c r="O105" s="25">
        <f t="shared" si="23"/>
        <v>0</v>
      </c>
      <c r="P105" s="26"/>
    </row>
    <row r="106" spans="1:18" ht="28.95" customHeight="1" x14ac:dyDescent="0.25">
      <c r="C106" s="64" t="s">
        <v>273</v>
      </c>
      <c r="D106" s="65" t="s">
        <v>274</v>
      </c>
      <c r="E106" s="25"/>
      <c r="F106" s="25"/>
      <c r="G106" s="25"/>
      <c r="H106" s="25"/>
      <c r="I106" s="67">
        <f>[4]PIVOT_2023!H41</f>
        <v>3713551</v>
      </c>
      <c r="J106" s="25"/>
      <c r="K106" s="25"/>
      <c r="L106" s="25">
        <f t="shared" si="30"/>
        <v>3713551</v>
      </c>
      <c r="M106" s="25">
        <v>3713551</v>
      </c>
      <c r="N106" s="25">
        <f t="shared" si="31"/>
        <v>3713551</v>
      </c>
      <c r="O106" s="25">
        <f t="shared" si="23"/>
        <v>0</v>
      </c>
      <c r="P106" s="26"/>
    </row>
    <row r="107" spans="1:18" ht="18" customHeight="1" thickBot="1" x14ac:dyDescent="0.35">
      <c r="A107" s="1" t="s">
        <v>19</v>
      </c>
      <c r="B107" s="611" t="s">
        <v>275</v>
      </c>
      <c r="C107" s="23" t="s">
        <v>276</v>
      </c>
      <c r="D107" s="24" t="s">
        <v>277</v>
      </c>
      <c r="E107" s="25"/>
      <c r="F107" s="25"/>
      <c r="G107" s="25"/>
      <c r="H107" s="25"/>
      <c r="I107" s="67">
        <f>75000+25000</f>
        <v>100000</v>
      </c>
      <c r="J107" s="25"/>
      <c r="K107" s="25">
        <f>[4]PIVOT_2023!H42-SUM(E107:J107)</f>
        <v>2000</v>
      </c>
      <c r="L107" s="25">
        <f t="shared" si="30"/>
        <v>102000</v>
      </c>
      <c r="M107" s="25">
        <v>102000</v>
      </c>
      <c r="N107" s="25">
        <f t="shared" si="31"/>
        <v>102000</v>
      </c>
      <c r="O107" s="25">
        <f t="shared" si="23"/>
        <v>0</v>
      </c>
      <c r="P107" s="26"/>
    </row>
    <row r="108" spans="1:18" ht="15" customHeight="1" thickBot="1" x14ac:dyDescent="0.3">
      <c r="C108" s="68"/>
      <c r="D108" s="69" t="s">
        <v>278</v>
      </c>
      <c r="E108" s="70">
        <v>1450963.94</v>
      </c>
      <c r="F108" s="70">
        <f t="shared" ref="F108:N108" si="32">F7+F11+F14+F17+F20+F23+F36+F39+F43+F44+F89+F92</f>
        <v>7953316</v>
      </c>
      <c r="G108" s="70">
        <f t="shared" si="32"/>
        <v>1660824.49</v>
      </c>
      <c r="H108" s="70">
        <f t="shared" si="32"/>
        <v>0</v>
      </c>
      <c r="I108" s="70">
        <f t="shared" si="32"/>
        <v>3813551</v>
      </c>
      <c r="J108" s="70">
        <f t="shared" si="32"/>
        <v>0</v>
      </c>
      <c r="K108" s="70">
        <f t="shared" si="32"/>
        <v>32725680</v>
      </c>
      <c r="L108" s="70">
        <f t="shared" si="32"/>
        <v>46153371.490000002</v>
      </c>
      <c r="M108" s="70">
        <f t="shared" si="32"/>
        <v>46153371.490000002</v>
      </c>
      <c r="N108" s="70">
        <f t="shared" si="32"/>
        <v>46211727</v>
      </c>
      <c r="O108" s="70">
        <f t="shared" si="23"/>
        <v>58355.509999997914</v>
      </c>
      <c r="P108" s="71"/>
      <c r="R108" s="18"/>
    </row>
    <row r="109" spans="1:18" ht="14.4" thickBot="1" x14ac:dyDescent="0.3">
      <c r="C109" s="72" t="s">
        <v>279</v>
      </c>
      <c r="D109" s="73" t="s">
        <v>280</v>
      </c>
      <c r="E109" s="74">
        <v>1450963.94</v>
      </c>
      <c r="F109" s="74">
        <f t="shared" ref="F109:L109" si="33">SUM(F110:F111)</f>
        <v>0</v>
      </c>
      <c r="G109" s="74">
        <f t="shared" si="33"/>
        <v>0</v>
      </c>
      <c r="H109" s="74">
        <f t="shared" si="33"/>
        <v>0</v>
      </c>
      <c r="I109" s="74">
        <f>SUM(I110:I111)</f>
        <v>0</v>
      </c>
      <c r="J109" s="74">
        <f t="shared" si="33"/>
        <v>0</v>
      </c>
      <c r="K109" s="74">
        <f t="shared" si="33"/>
        <v>0</v>
      </c>
      <c r="L109" s="74">
        <f t="shared" si="33"/>
        <v>7741520.8000000007</v>
      </c>
      <c r="M109" s="74">
        <f>SUM(M110:M111)+0.2</f>
        <v>7741521.0000000009</v>
      </c>
      <c r="N109" s="74">
        <f>SUM(N110:N111)</f>
        <v>7741521</v>
      </c>
      <c r="O109" s="74">
        <f t="shared" si="23"/>
        <v>0</v>
      </c>
      <c r="P109" s="75"/>
    </row>
    <row r="110" spans="1:18" ht="17.25" customHeight="1" x14ac:dyDescent="0.25">
      <c r="C110" s="23" t="s">
        <v>281</v>
      </c>
      <c r="D110" s="24" t="s">
        <v>282</v>
      </c>
      <c r="E110" s="25">
        <v>1450963.94</v>
      </c>
      <c r="F110" s="25"/>
      <c r="G110" s="25"/>
      <c r="H110" s="25"/>
      <c r="I110" s="25"/>
      <c r="J110" s="25"/>
      <c r="K110" s="25"/>
      <c r="L110" s="25">
        <f>E110</f>
        <v>1450963.94</v>
      </c>
      <c r="M110" s="25">
        <v>1454963.94</v>
      </c>
      <c r="N110" s="25">
        <f>ROUND(M110,0)</f>
        <v>1454964</v>
      </c>
      <c r="O110" s="25">
        <f t="shared" si="23"/>
        <v>6.0000000055879354E-2</v>
      </c>
      <c r="P110" s="38"/>
    </row>
    <row r="111" spans="1:18" x14ac:dyDescent="0.25">
      <c r="C111" s="23" t="s">
        <v>283</v>
      </c>
      <c r="D111" s="24" t="s">
        <v>284</v>
      </c>
      <c r="E111" s="25"/>
      <c r="F111" s="25"/>
      <c r="G111" s="25"/>
      <c r="H111" s="25"/>
      <c r="I111" s="25"/>
      <c r="J111" s="25"/>
      <c r="K111" s="25"/>
      <c r="L111" s="25">
        <f>'[4]31122022_final'!E81+'[4]31122022_final'!J103+'[4]31122022_final'!E7-'2023.gada budzets'!L110</f>
        <v>6290556.8600000013</v>
      </c>
      <c r="M111" s="25">
        <v>6286556.8600000013</v>
      </c>
      <c r="N111" s="25">
        <f>ROUND(M111,0)</f>
        <v>6286557</v>
      </c>
      <c r="O111" s="25">
        <f t="shared" si="23"/>
        <v>0.1399999987334013</v>
      </c>
      <c r="P111" s="26"/>
    </row>
    <row r="112" spans="1:18" x14ac:dyDescent="0.25">
      <c r="C112" s="39" t="s">
        <v>285</v>
      </c>
      <c r="D112" s="76" t="s">
        <v>286</v>
      </c>
      <c r="E112" s="77">
        <v>0</v>
      </c>
      <c r="F112" s="77">
        <f t="shared" ref="F112:N112" si="34">SUM(F113:F124)</f>
        <v>0</v>
      </c>
      <c r="G112" s="77">
        <f t="shared" si="34"/>
        <v>0</v>
      </c>
      <c r="H112" s="77">
        <f>SUM(H113:H124)</f>
        <v>4267404.0022</v>
      </c>
      <c r="I112" s="77">
        <f t="shared" si="34"/>
        <v>0</v>
      </c>
      <c r="J112" s="77">
        <f t="shared" si="34"/>
        <v>0</v>
      </c>
      <c r="K112" s="77">
        <f t="shared" si="34"/>
        <v>0</v>
      </c>
      <c r="L112" s="77">
        <f t="shared" si="34"/>
        <v>4267404.0022</v>
      </c>
      <c r="M112" s="77">
        <f>SUM(M113:M124)-1</f>
        <v>4267403.7422000002</v>
      </c>
      <c r="N112" s="77">
        <f t="shared" si="34"/>
        <v>4267404</v>
      </c>
      <c r="O112" s="29">
        <f t="shared" si="23"/>
        <v>0.25779999978840351</v>
      </c>
      <c r="P112" s="30"/>
    </row>
    <row r="113" spans="1:16" ht="41.4" x14ac:dyDescent="0.25">
      <c r="A113" s="50"/>
      <c r="B113" s="50"/>
      <c r="C113" s="64" t="s">
        <v>287</v>
      </c>
      <c r="D113" s="78" t="s">
        <v>217</v>
      </c>
      <c r="E113" s="79"/>
      <c r="F113" s="79"/>
      <c r="G113" s="79"/>
      <c r="H113" s="80">
        <f>[4]Investīcijas_2023!L52</f>
        <v>59922</v>
      </c>
      <c r="I113" s="79"/>
      <c r="J113" s="79"/>
      <c r="K113" s="79"/>
      <c r="L113" s="25">
        <f t="shared" ref="L113:L124" si="35">F113+G113+H113+I113+J113+K113</f>
        <v>59922</v>
      </c>
      <c r="M113" s="25">
        <v>59922</v>
      </c>
      <c r="N113" s="25">
        <f t="shared" ref="N113:N124" si="36">ROUND(M113,0)</f>
        <v>59922</v>
      </c>
      <c r="O113" s="81">
        <f t="shared" si="23"/>
        <v>0</v>
      </c>
      <c r="P113" s="33"/>
    </row>
    <row r="114" spans="1:16" x14ac:dyDescent="0.25">
      <c r="A114" s="50"/>
      <c r="B114" s="50"/>
      <c r="C114" s="64" t="s">
        <v>288</v>
      </c>
      <c r="D114" s="78" t="s">
        <v>219</v>
      </c>
      <c r="E114" s="79"/>
      <c r="F114" s="79"/>
      <c r="G114" s="79"/>
      <c r="H114" s="80">
        <f>[4]Investīcijas_2023!L53</f>
        <v>207089</v>
      </c>
      <c r="I114" s="79"/>
      <c r="J114" s="79"/>
      <c r="K114" s="79"/>
      <c r="L114" s="25">
        <f t="shared" si="35"/>
        <v>207089</v>
      </c>
      <c r="M114" s="25">
        <v>207089</v>
      </c>
      <c r="N114" s="25">
        <f t="shared" si="36"/>
        <v>207089</v>
      </c>
      <c r="O114" s="81">
        <f t="shared" si="23"/>
        <v>0</v>
      </c>
      <c r="P114" s="33"/>
    </row>
    <row r="115" spans="1:16" ht="44.4" customHeight="1" x14ac:dyDescent="0.25">
      <c r="A115" s="50"/>
      <c r="B115" s="50"/>
      <c r="C115" s="64" t="s">
        <v>289</v>
      </c>
      <c r="D115" s="78" t="s">
        <v>290</v>
      </c>
      <c r="E115" s="79"/>
      <c r="F115" s="79"/>
      <c r="G115" s="79"/>
      <c r="H115" s="80">
        <f>[4]Investīcijas_2023!L54-0.35</f>
        <v>320141.00220000005</v>
      </c>
      <c r="I115" s="79"/>
      <c r="J115" s="79"/>
      <c r="K115" s="79"/>
      <c r="L115" s="25">
        <f t="shared" si="35"/>
        <v>320141.00220000005</v>
      </c>
      <c r="M115" s="25">
        <v>320141.35220000002</v>
      </c>
      <c r="N115" s="25">
        <f t="shared" si="36"/>
        <v>320141</v>
      </c>
      <c r="O115" s="81">
        <f t="shared" si="23"/>
        <v>-0.35220000002300367</v>
      </c>
      <c r="P115" s="33"/>
    </row>
    <row r="116" spans="1:16" ht="27.6" x14ac:dyDescent="0.25">
      <c r="A116" s="50" t="s">
        <v>181</v>
      </c>
      <c r="B116" s="50" t="s">
        <v>291</v>
      </c>
      <c r="C116" s="64" t="s">
        <v>292</v>
      </c>
      <c r="D116" s="78" t="s">
        <v>293</v>
      </c>
      <c r="E116" s="79"/>
      <c r="F116" s="79"/>
      <c r="G116" s="79"/>
      <c r="H116" s="80">
        <f>[4]Investīcijas_2023!L57-0.49</f>
        <v>624704</v>
      </c>
      <c r="I116" s="79"/>
      <c r="J116" s="79"/>
      <c r="K116" s="79"/>
      <c r="L116" s="25">
        <f t="shared" si="35"/>
        <v>624704</v>
      </c>
      <c r="M116" s="25">
        <v>624704.49</v>
      </c>
      <c r="N116" s="25">
        <f t="shared" si="36"/>
        <v>624704</v>
      </c>
      <c r="O116" s="81">
        <f t="shared" si="23"/>
        <v>-0.48999999999068677</v>
      </c>
      <c r="P116" s="32"/>
    </row>
    <row r="117" spans="1:16" ht="30" customHeight="1" x14ac:dyDescent="0.25">
      <c r="A117" s="50"/>
      <c r="B117" s="50"/>
      <c r="C117" s="64" t="s">
        <v>294</v>
      </c>
      <c r="D117" s="78" t="s">
        <v>186</v>
      </c>
      <c r="E117" s="79"/>
      <c r="F117" s="79"/>
      <c r="G117" s="79"/>
      <c r="H117" s="80">
        <f>[4]Investīcijas_2023!L62+0.1</f>
        <v>37335</v>
      </c>
      <c r="I117" s="79"/>
      <c r="J117" s="79"/>
      <c r="K117" s="79"/>
      <c r="L117" s="25">
        <f t="shared" si="35"/>
        <v>37335</v>
      </c>
      <c r="M117" s="25">
        <v>37334.9</v>
      </c>
      <c r="N117" s="25">
        <f t="shared" si="36"/>
        <v>37335</v>
      </c>
      <c r="O117" s="81">
        <f t="shared" si="23"/>
        <v>9.9999999998544808E-2</v>
      </c>
      <c r="P117" s="32"/>
    </row>
    <row r="118" spans="1:16" x14ac:dyDescent="0.25">
      <c r="B118" s="50"/>
      <c r="C118" s="64" t="s">
        <v>295</v>
      </c>
      <c r="D118" s="78" t="s">
        <v>296</v>
      </c>
      <c r="E118" s="79"/>
      <c r="F118" s="79"/>
      <c r="G118" s="79"/>
      <c r="H118" s="80">
        <f>[4]Investīcijas_2023!L66</f>
        <v>582946</v>
      </c>
      <c r="I118" s="79"/>
      <c r="J118" s="79"/>
      <c r="K118" s="79"/>
      <c r="L118" s="79">
        <f t="shared" si="35"/>
        <v>582946</v>
      </c>
      <c r="M118" s="79">
        <v>582946</v>
      </c>
      <c r="N118" s="79">
        <f t="shared" si="36"/>
        <v>582946</v>
      </c>
      <c r="O118" s="82">
        <f t="shared" si="23"/>
        <v>0</v>
      </c>
      <c r="P118" s="83"/>
    </row>
    <row r="119" spans="1:16" ht="45" customHeight="1" x14ac:dyDescent="0.25">
      <c r="B119" s="50"/>
      <c r="C119" s="64" t="s">
        <v>297</v>
      </c>
      <c r="D119" s="85" t="s">
        <v>298</v>
      </c>
      <c r="E119" s="86"/>
      <c r="F119" s="86"/>
      <c r="G119" s="86"/>
      <c r="H119" s="87">
        <f>[4]Investīcijas_2023!L68</f>
        <v>390000</v>
      </c>
      <c r="I119" s="86"/>
      <c r="J119" s="86"/>
      <c r="K119" s="86"/>
      <c r="L119" s="86">
        <f t="shared" si="35"/>
        <v>390000</v>
      </c>
      <c r="M119" s="86">
        <v>390000</v>
      </c>
      <c r="N119" s="86">
        <f t="shared" si="36"/>
        <v>390000</v>
      </c>
      <c r="O119" s="82">
        <f t="shared" si="23"/>
        <v>0</v>
      </c>
      <c r="P119" s="83"/>
    </row>
    <row r="120" spans="1:16" ht="16.2" customHeight="1" x14ac:dyDescent="0.25">
      <c r="B120" s="50"/>
      <c r="C120" s="64" t="s">
        <v>299</v>
      </c>
      <c r="D120" s="88" t="s">
        <v>300</v>
      </c>
      <c r="E120" s="89"/>
      <c r="F120" s="89"/>
      <c r="G120" s="89"/>
      <c r="H120" s="90">
        <f>[4]Investīcijas_2023!L235</f>
        <v>645000</v>
      </c>
      <c r="I120" s="89"/>
      <c r="J120" s="89"/>
      <c r="K120" s="89"/>
      <c r="L120" s="89">
        <f t="shared" si="35"/>
        <v>645000</v>
      </c>
      <c r="M120" s="89">
        <v>645000</v>
      </c>
      <c r="N120" s="89">
        <f t="shared" si="36"/>
        <v>645000</v>
      </c>
      <c r="O120" s="89">
        <f t="shared" si="23"/>
        <v>0</v>
      </c>
      <c r="P120" s="91"/>
    </row>
    <row r="121" spans="1:16" ht="16.2" customHeight="1" x14ac:dyDescent="0.25">
      <c r="B121" s="50"/>
      <c r="C121" s="64" t="s">
        <v>301</v>
      </c>
      <c r="D121" s="88" t="s">
        <v>223</v>
      </c>
      <c r="E121" s="89"/>
      <c r="F121" s="89"/>
      <c r="G121" s="89"/>
      <c r="H121" s="90">
        <v>164032</v>
      </c>
      <c r="I121" s="89"/>
      <c r="J121" s="89"/>
      <c r="K121" s="89"/>
      <c r="L121" s="89">
        <f t="shared" si="35"/>
        <v>164032</v>
      </c>
      <c r="M121" s="89">
        <v>164032</v>
      </c>
      <c r="N121" s="89">
        <f t="shared" si="36"/>
        <v>164032</v>
      </c>
      <c r="O121" s="89">
        <f t="shared" si="23"/>
        <v>0</v>
      </c>
      <c r="P121" s="91"/>
    </row>
    <row r="122" spans="1:16" ht="16.95" customHeight="1" x14ac:dyDescent="0.25">
      <c r="B122" s="50"/>
      <c r="C122" s="64" t="s">
        <v>302</v>
      </c>
      <c r="D122" s="88" t="s">
        <v>225</v>
      </c>
      <c r="E122" s="89"/>
      <c r="F122" s="89"/>
      <c r="G122" s="89"/>
      <c r="H122" s="90">
        <v>907235</v>
      </c>
      <c r="I122" s="89"/>
      <c r="J122" s="89"/>
      <c r="K122" s="89"/>
      <c r="L122" s="89">
        <f t="shared" si="35"/>
        <v>907235</v>
      </c>
      <c r="M122" s="89">
        <v>907235</v>
      </c>
      <c r="N122" s="89">
        <f t="shared" si="36"/>
        <v>907235</v>
      </c>
      <c r="O122" s="89">
        <f t="shared" si="23"/>
        <v>0</v>
      </c>
      <c r="P122" s="91"/>
    </row>
    <row r="123" spans="1:16" ht="29.4" customHeight="1" x14ac:dyDescent="0.25">
      <c r="B123" s="50"/>
      <c r="C123" s="92" t="s">
        <v>303</v>
      </c>
      <c r="D123" s="88" t="s">
        <v>304</v>
      </c>
      <c r="E123" s="89"/>
      <c r="F123" s="89"/>
      <c r="G123" s="89"/>
      <c r="H123" s="90">
        <v>203000</v>
      </c>
      <c r="I123" s="89"/>
      <c r="J123" s="89"/>
      <c r="K123" s="89"/>
      <c r="L123" s="89">
        <f t="shared" si="35"/>
        <v>203000</v>
      </c>
      <c r="M123" s="89">
        <v>203000</v>
      </c>
      <c r="N123" s="89">
        <f t="shared" si="36"/>
        <v>203000</v>
      </c>
      <c r="O123" s="89">
        <f t="shared" si="23"/>
        <v>0</v>
      </c>
      <c r="P123" s="91"/>
    </row>
    <row r="124" spans="1:16" ht="28.95" customHeight="1" thickBot="1" x14ac:dyDescent="0.3">
      <c r="B124" s="50"/>
      <c r="C124" s="93" t="s">
        <v>305</v>
      </c>
      <c r="D124" s="94" t="s">
        <v>306</v>
      </c>
      <c r="E124" s="84"/>
      <c r="F124" s="84"/>
      <c r="G124" s="84"/>
      <c r="H124" s="95">
        <v>126000</v>
      </c>
      <c r="I124" s="84"/>
      <c r="J124" s="84"/>
      <c r="K124" s="84"/>
      <c r="L124" s="84">
        <f t="shared" si="35"/>
        <v>126000</v>
      </c>
      <c r="M124" s="84">
        <v>126000</v>
      </c>
      <c r="N124" s="84">
        <f t="shared" si="36"/>
        <v>126000</v>
      </c>
      <c r="O124" s="96">
        <f t="shared" si="23"/>
        <v>0</v>
      </c>
      <c r="P124" s="97"/>
    </row>
    <row r="125" spans="1:16" ht="14.4" thickBot="1" x14ac:dyDescent="0.3">
      <c r="C125" s="98"/>
      <c r="D125" s="99" t="s">
        <v>307</v>
      </c>
      <c r="E125" s="74">
        <v>1450963.94</v>
      </c>
      <c r="F125" s="74">
        <f t="shared" ref="F125:N125" si="37">F108+F109+F112</f>
        <v>7953316</v>
      </c>
      <c r="G125" s="74">
        <f t="shared" si="37"/>
        <v>1660824.49</v>
      </c>
      <c r="H125" s="74">
        <f t="shared" si="37"/>
        <v>4267404.0022</v>
      </c>
      <c r="I125" s="74">
        <f t="shared" si="37"/>
        <v>3813551</v>
      </c>
      <c r="J125" s="74">
        <f t="shared" si="37"/>
        <v>0</v>
      </c>
      <c r="K125" s="74">
        <f t="shared" si="37"/>
        <v>32725680</v>
      </c>
      <c r="L125" s="74">
        <f>L108+L109+L112</f>
        <v>58162296.292200007</v>
      </c>
      <c r="M125" s="74">
        <f t="shared" si="37"/>
        <v>58162296.232200004</v>
      </c>
      <c r="N125" s="74">
        <f t="shared" si="37"/>
        <v>58220652</v>
      </c>
      <c r="O125" s="74">
        <f t="shared" si="23"/>
        <v>58355.76779999584</v>
      </c>
      <c r="P125" s="100"/>
    </row>
    <row r="126" spans="1:16" x14ac:dyDescent="0.25">
      <c r="L126" s="3"/>
    </row>
    <row r="127" spans="1:16" x14ac:dyDescent="0.25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6" ht="20.399999999999999" x14ac:dyDescent="0.35">
      <c r="C128" s="617" t="s">
        <v>308</v>
      </c>
      <c r="D128" s="61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2:16" ht="15" thickBot="1" x14ac:dyDescent="0.35">
      <c r="C129" s="618"/>
      <c r="D129" s="618"/>
      <c r="E129" s="102"/>
      <c r="F129" s="102"/>
      <c r="G129" s="102"/>
      <c r="H129" s="102"/>
      <c r="I129" s="102"/>
      <c r="J129" s="102"/>
      <c r="K129" s="3"/>
      <c r="L129" s="102"/>
      <c r="M129" s="102"/>
      <c r="N129" s="102"/>
      <c r="O129" s="102"/>
    </row>
    <row r="130" spans="2:16" ht="47.25" customHeight="1" outlineLevel="1" thickBot="1" x14ac:dyDescent="0.3">
      <c r="C130" s="9" t="s">
        <v>3</v>
      </c>
      <c r="D130" s="10" t="s">
        <v>4</v>
      </c>
      <c r="E130" s="11" t="s">
        <v>5</v>
      </c>
      <c r="F130" s="11" t="s">
        <v>6</v>
      </c>
      <c r="G130" s="11" t="s">
        <v>7</v>
      </c>
      <c r="H130" s="11" t="s">
        <v>8</v>
      </c>
      <c r="I130" s="11" t="s">
        <v>9</v>
      </c>
      <c r="J130" s="11" t="s">
        <v>10</v>
      </c>
      <c r="K130" s="11" t="s">
        <v>11</v>
      </c>
      <c r="L130" s="11" t="s">
        <v>12</v>
      </c>
      <c r="M130" s="11" t="s">
        <v>12</v>
      </c>
      <c r="N130" s="11" t="s">
        <v>1018</v>
      </c>
      <c r="O130" s="11" t="s">
        <v>1019</v>
      </c>
      <c r="P130" s="12" t="s">
        <v>309</v>
      </c>
    </row>
    <row r="131" spans="2:16" x14ac:dyDescent="0.25">
      <c r="C131" s="103" t="s">
        <v>17</v>
      </c>
      <c r="D131" s="104" t="s">
        <v>310</v>
      </c>
      <c r="E131" s="105">
        <v>0</v>
      </c>
      <c r="F131" s="105">
        <f t="shared" ref="F131:N131" si="38">SUM(F132:F140)</f>
        <v>0</v>
      </c>
      <c r="G131" s="105">
        <f t="shared" si="38"/>
        <v>0</v>
      </c>
      <c r="H131" s="105">
        <f t="shared" si="38"/>
        <v>0</v>
      </c>
      <c r="I131" s="105">
        <f t="shared" si="38"/>
        <v>0</v>
      </c>
      <c r="J131" s="105">
        <f t="shared" si="38"/>
        <v>8000</v>
      </c>
      <c r="K131" s="105">
        <f t="shared" si="38"/>
        <v>8237497.7770412909</v>
      </c>
      <c r="L131" s="105">
        <f t="shared" si="38"/>
        <v>8245497.7770412909</v>
      </c>
      <c r="M131" s="105">
        <f t="shared" si="38"/>
        <v>8245497.4604350002</v>
      </c>
      <c r="N131" s="105">
        <f t="shared" si="38"/>
        <v>8245497</v>
      </c>
      <c r="O131" s="105">
        <f t="shared" ref="O131:O194" si="39">N131-M131</f>
        <v>-0.46043500024825335</v>
      </c>
      <c r="P131" s="106"/>
    </row>
    <row r="132" spans="2:16" ht="31.5" customHeight="1" x14ac:dyDescent="0.25">
      <c r="B132" s="50" t="s">
        <v>311</v>
      </c>
      <c r="C132" s="107" t="s">
        <v>21</v>
      </c>
      <c r="D132" s="108" t="s">
        <v>312</v>
      </c>
      <c r="E132" s="42"/>
      <c r="F132" s="42"/>
      <c r="G132" s="42"/>
      <c r="H132" s="42"/>
      <c r="I132" s="42"/>
      <c r="J132" s="42"/>
      <c r="K132" s="42">
        <f>[4]PIVOT_2023!H64</f>
        <v>1904695.882342119</v>
      </c>
      <c r="L132" s="42">
        <f>E132+F132+G132+H132+I132+J132+K132</f>
        <v>1904695.882342119</v>
      </c>
      <c r="M132" s="42">
        <v>1904696</v>
      </c>
      <c r="N132" s="42">
        <f>ROUND(M132,0)</f>
        <v>1904696</v>
      </c>
      <c r="O132" s="42">
        <f t="shared" si="39"/>
        <v>0</v>
      </c>
      <c r="P132" s="54"/>
    </row>
    <row r="133" spans="2:16" x14ac:dyDescent="0.25">
      <c r="B133" s="50" t="s">
        <v>313</v>
      </c>
      <c r="C133" s="107" t="s">
        <v>23</v>
      </c>
      <c r="D133" s="108" t="s">
        <v>314</v>
      </c>
      <c r="E133" s="42"/>
      <c r="F133" s="42"/>
      <c r="G133" s="42"/>
      <c r="H133" s="42"/>
      <c r="I133" s="42"/>
      <c r="J133" s="42"/>
      <c r="K133" s="42">
        <f>[4]PIVOT_2023!H69</f>
        <v>355818.96720568801</v>
      </c>
      <c r="L133" s="42">
        <f t="shared" ref="L133:L142" si="40">E133+F133+G133+H133+I133+J133+K133</f>
        <v>355818.96720568801</v>
      </c>
      <c r="M133" s="42">
        <v>355819</v>
      </c>
      <c r="N133" s="42">
        <f t="shared" ref="N133:N142" si="41">ROUND(M133,0)</f>
        <v>355819</v>
      </c>
      <c r="O133" s="42">
        <f t="shared" si="39"/>
        <v>0</v>
      </c>
      <c r="P133" s="109"/>
    </row>
    <row r="134" spans="2:16" ht="13.2" customHeight="1" x14ac:dyDescent="0.25">
      <c r="B134" s="50" t="s">
        <v>315</v>
      </c>
      <c r="C134" s="107" t="s">
        <v>316</v>
      </c>
      <c r="D134" s="108" t="s">
        <v>317</v>
      </c>
      <c r="E134" s="42"/>
      <c r="F134" s="42"/>
      <c r="G134" s="42"/>
      <c r="H134" s="42"/>
      <c r="I134" s="42"/>
      <c r="J134" s="42"/>
      <c r="K134" s="42">
        <f>[4]PIVOT_2023!H70</f>
        <v>58895.469599999997</v>
      </c>
      <c r="L134" s="42">
        <f t="shared" si="40"/>
        <v>58895.469599999997</v>
      </c>
      <c r="M134" s="42">
        <v>58895</v>
      </c>
      <c r="N134" s="42">
        <f>ROUND(M134,0)</f>
        <v>58895</v>
      </c>
      <c r="O134" s="42">
        <f t="shared" si="39"/>
        <v>0</v>
      </c>
      <c r="P134" s="54"/>
    </row>
    <row r="135" spans="2:16" ht="14.4" customHeight="1" x14ac:dyDescent="0.25">
      <c r="B135" s="50" t="s">
        <v>318</v>
      </c>
      <c r="C135" s="107" t="s">
        <v>319</v>
      </c>
      <c r="D135" s="108" t="s">
        <v>320</v>
      </c>
      <c r="E135" s="42"/>
      <c r="F135" s="42"/>
      <c r="G135" s="42"/>
      <c r="H135" s="42"/>
      <c r="I135" s="42"/>
      <c r="J135" s="42"/>
      <c r="K135" s="42">
        <f>[4]PIVOT_2023!H75</f>
        <v>50294.195200000002</v>
      </c>
      <c r="L135" s="42">
        <f t="shared" si="40"/>
        <v>50294.195200000002</v>
      </c>
      <c r="M135" s="42">
        <v>50294</v>
      </c>
      <c r="N135" s="42">
        <f t="shared" si="41"/>
        <v>50294</v>
      </c>
      <c r="O135" s="42">
        <f t="shared" si="39"/>
        <v>0</v>
      </c>
      <c r="P135" s="54"/>
    </row>
    <row r="136" spans="2:16" ht="18" customHeight="1" x14ac:dyDescent="0.25">
      <c r="B136" s="50" t="s">
        <v>321</v>
      </c>
      <c r="C136" s="107" t="s">
        <v>322</v>
      </c>
      <c r="D136" s="108" t="s">
        <v>323</v>
      </c>
      <c r="E136" s="42"/>
      <c r="F136" s="42"/>
      <c r="G136" s="42"/>
      <c r="H136" s="42"/>
      <c r="I136" s="42"/>
      <c r="J136" s="42"/>
      <c r="K136" s="42">
        <f>[4]PIVOT_2023!H76</f>
        <v>6587.5</v>
      </c>
      <c r="L136" s="42">
        <f t="shared" si="40"/>
        <v>6587.5</v>
      </c>
      <c r="M136" s="42">
        <v>6588</v>
      </c>
      <c r="N136" s="42">
        <f t="shared" si="41"/>
        <v>6588</v>
      </c>
      <c r="O136" s="42">
        <f t="shared" si="39"/>
        <v>0</v>
      </c>
      <c r="P136" s="109"/>
    </row>
    <row r="137" spans="2:16" ht="29.4" customHeight="1" x14ac:dyDescent="0.25">
      <c r="B137" s="50" t="s">
        <v>324</v>
      </c>
      <c r="C137" s="107" t="s">
        <v>325</v>
      </c>
      <c r="D137" s="108" t="s">
        <v>326</v>
      </c>
      <c r="E137" s="42"/>
      <c r="F137" s="42"/>
      <c r="G137" s="42"/>
      <c r="H137" s="42"/>
      <c r="I137" s="42"/>
      <c r="J137" s="42"/>
      <c r="K137" s="42">
        <f>[4]PIVOT_2023!H77</f>
        <v>71620.138310000009</v>
      </c>
      <c r="L137" s="42">
        <f t="shared" si="40"/>
        <v>71620.138310000009</v>
      </c>
      <c r="M137" s="42">
        <v>71620</v>
      </c>
      <c r="N137" s="42">
        <f t="shared" si="41"/>
        <v>71620</v>
      </c>
      <c r="O137" s="42">
        <f t="shared" si="39"/>
        <v>0</v>
      </c>
      <c r="P137" s="109"/>
    </row>
    <row r="138" spans="2:16" ht="15.6" customHeight="1" x14ac:dyDescent="0.25">
      <c r="B138" s="50" t="s">
        <v>311</v>
      </c>
      <c r="C138" s="107" t="s">
        <v>327</v>
      </c>
      <c r="D138" s="108" t="s">
        <v>328</v>
      </c>
      <c r="E138" s="42"/>
      <c r="F138" s="42"/>
      <c r="G138" s="42"/>
      <c r="H138" s="42"/>
      <c r="I138" s="42"/>
      <c r="J138" s="42"/>
      <c r="K138" s="42">
        <f>[4]PIVOT_2023!H80</f>
        <v>1047339.1639484835</v>
      </c>
      <c r="L138" s="42">
        <f t="shared" si="40"/>
        <v>1047339.1639484835</v>
      </c>
      <c r="M138" s="42">
        <v>1047339</v>
      </c>
      <c r="N138" s="42">
        <f t="shared" si="41"/>
        <v>1047339</v>
      </c>
      <c r="O138" s="42">
        <f t="shared" si="39"/>
        <v>0</v>
      </c>
      <c r="P138" s="54"/>
    </row>
    <row r="139" spans="2:16" x14ac:dyDescent="0.25">
      <c r="B139" s="50" t="s">
        <v>311</v>
      </c>
      <c r="C139" s="107" t="s">
        <v>329</v>
      </c>
      <c r="D139" s="108" t="s">
        <v>330</v>
      </c>
      <c r="E139" s="42"/>
      <c r="F139" s="42"/>
      <c r="G139" s="42"/>
      <c r="H139" s="42"/>
      <c r="I139" s="42"/>
      <c r="J139" s="42"/>
      <c r="K139" s="42">
        <f>[4]PIVOT_2023!H81</f>
        <v>4392666</v>
      </c>
      <c r="L139" s="42">
        <f t="shared" si="40"/>
        <v>4392666</v>
      </c>
      <c r="M139" s="42">
        <v>4392666</v>
      </c>
      <c r="N139" s="42">
        <f t="shared" si="41"/>
        <v>4392666</v>
      </c>
      <c r="O139" s="42">
        <f t="shared" si="39"/>
        <v>0</v>
      </c>
      <c r="P139" s="109"/>
    </row>
    <row r="140" spans="2:16" ht="45.6" customHeight="1" x14ac:dyDescent="0.25">
      <c r="B140" s="50" t="s">
        <v>331</v>
      </c>
      <c r="C140" s="107" t="s">
        <v>332</v>
      </c>
      <c r="D140" s="108" t="s">
        <v>333</v>
      </c>
      <c r="E140" s="42"/>
      <c r="F140" s="42"/>
      <c r="G140" s="42"/>
      <c r="H140" s="42"/>
      <c r="I140" s="42"/>
      <c r="J140" s="42">
        <f>[4]Pivot_invest_2023!E63</f>
        <v>8000</v>
      </c>
      <c r="K140" s="42">
        <f>[4]PIVOT_2023!H82</f>
        <v>349580.46043500002</v>
      </c>
      <c r="L140" s="42">
        <f t="shared" si="40"/>
        <v>357580.46043500002</v>
      </c>
      <c r="M140" s="42">
        <v>357580.46043500002</v>
      </c>
      <c r="N140" s="42">
        <f>ROUND(M140,0)</f>
        <v>357580</v>
      </c>
      <c r="O140" s="42">
        <f t="shared" si="39"/>
        <v>-0.4604350000154227</v>
      </c>
      <c r="P140" s="54"/>
    </row>
    <row r="141" spans="2:16" x14ac:dyDescent="0.25">
      <c r="C141" s="110" t="s">
        <v>28</v>
      </c>
      <c r="D141" s="111" t="s">
        <v>334</v>
      </c>
      <c r="E141" s="29">
        <v>0</v>
      </c>
      <c r="F141" s="29">
        <f t="shared" ref="F141:M141" si="42">F142</f>
        <v>0</v>
      </c>
      <c r="G141" s="29">
        <f t="shared" si="42"/>
        <v>0</v>
      </c>
      <c r="H141" s="29">
        <f t="shared" si="42"/>
        <v>0</v>
      </c>
      <c r="I141" s="29">
        <f t="shared" si="42"/>
        <v>0</v>
      </c>
      <c r="J141" s="29">
        <f t="shared" si="42"/>
        <v>0</v>
      </c>
      <c r="K141" s="29">
        <f t="shared" si="42"/>
        <v>0</v>
      </c>
      <c r="L141" s="29">
        <f t="shared" si="42"/>
        <v>0</v>
      </c>
      <c r="M141" s="29">
        <f t="shared" si="42"/>
        <v>0</v>
      </c>
      <c r="N141" s="29">
        <f t="shared" si="41"/>
        <v>0</v>
      </c>
      <c r="O141" s="29">
        <f t="shared" si="39"/>
        <v>0</v>
      </c>
      <c r="P141" s="30"/>
    </row>
    <row r="142" spans="2:16" ht="32.25" customHeight="1" x14ac:dyDescent="0.25">
      <c r="B142" s="50" t="s">
        <v>335</v>
      </c>
      <c r="C142" s="107" t="s">
        <v>31</v>
      </c>
      <c r="D142" s="108" t="s">
        <v>336</v>
      </c>
      <c r="E142" s="42"/>
      <c r="F142" s="42"/>
      <c r="G142" s="42"/>
      <c r="H142" s="42"/>
      <c r="I142" s="42"/>
      <c r="J142" s="42"/>
      <c r="K142" s="42"/>
      <c r="L142" s="42">
        <f t="shared" si="40"/>
        <v>0</v>
      </c>
      <c r="M142" s="42">
        <v>0</v>
      </c>
      <c r="N142" s="42">
        <f t="shared" si="41"/>
        <v>0</v>
      </c>
      <c r="O142" s="42">
        <f t="shared" si="39"/>
        <v>0</v>
      </c>
      <c r="P142" s="109"/>
    </row>
    <row r="143" spans="2:16" ht="33" customHeight="1" collapsed="1" x14ac:dyDescent="0.25">
      <c r="B143" s="50" t="s">
        <v>337</v>
      </c>
      <c r="C143" s="110" t="s">
        <v>36</v>
      </c>
      <c r="D143" s="111" t="s">
        <v>338</v>
      </c>
      <c r="E143" s="29"/>
      <c r="F143" s="29"/>
      <c r="G143" s="29"/>
      <c r="H143" s="29"/>
      <c r="I143" s="29"/>
      <c r="J143" s="29">
        <f>[4]Pivot_invest_2023!E42+[4]Pivot_invest_2023!E64-[4]Pivot_invest_2023!J64</f>
        <v>9400</v>
      </c>
      <c r="K143" s="29">
        <f>[4]PIVOT_2023!H87</f>
        <v>926669.29245700024</v>
      </c>
      <c r="L143" s="29">
        <f>F143+G143+H143+I143+J143+K143</f>
        <v>936069.29245700024</v>
      </c>
      <c r="M143" s="29">
        <v>936069.29245700024</v>
      </c>
      <c r="N143" s="29">
        <f>ROUND(M143,0)</f>
        <v>936069</v>
      </c>
      <c r="O143" s="29">
        <f t="shared" si="39"/>
        <v>-0.29245700023602694</v>
      </c>
      <c r="P143" s="36"/>
    </row>
    <row r="144" spans="2:16" ht="16.95" customHeight="1" x14ac:dyDescent="0.25">
      <c r="C144" s="110" t="s">
        <v>44</v>
      </c>
      <c r="D144" s="111" t="s">
        <v>339</v>
      </c>
      <c r="E144" s="29">
        <v>6813</v>
      </c>
      <c r="F144" s="29">
        <f t="shared" ref="F144:N144" si="43">F145+F148</f>
        <v>342263</v>
      </c>
      <c r="G144" s="29">
        <f t="shared" si="43"/>
        <v>0</v>
      </c>
      <c r="H144" s="29">
        <f t="shared" si="43"/>
        <v>0</v>
      </c>
      <c r="I144" s="29">
        <f t="shared" si="43"/>
        <v>0</v>
      </c>
      <c r="J144" s="29">
        <f t="shared" si="43"/>
        <v>0</v>
      </c>
      <c r="K144" s="29">
        <f t="shared" si="43"/>
        <v>207617.29264600005</v>
      </c>
      <c r="L144" s="29">
        <f t="shared" si="43"/>
        <v>556693.29264600005</v>
      </c>
      <c r="M144" s="29">
        <f t="shared" si="43"/>
        <v>556693.29264600005</v>
      </c>
      <c r="N144" s="29">
        <f t="shared" si="43"/>
        <v>556693</v>
      </c>
      <c r="O144" s="29">
        <f t="shared" si="39"/>
        <v>-0.29264600004535168</v>
      </c>
      <c r="P144" s="36"/>
    </row>
    <row r="145" spans="2:17" x14ac:dyDescent="0.25">
      <c r="B145" s="50" t="s">
        <v>340</v>
      </c>
      <c r="C145" s="107" t="s">
        <v>47</v>
      </c>
      <c r="D145" s="108" t="s">
        <v>341</v>
      </c>
      <c r="E145" s="42">
        <v>0</v>
      </c>
      <c r="F145" s="42">
        <f t="shared" ref="F145:O145" si="44">SUM(F146:F147)</f>
        <v>0</v>
      </c>
      <c r="G145" s="42">
        <f t="shared" si="44"/>
        <v>0</v>
      </c>
      <c r="H145" s="42">
        <f t="shared" si="44"/>
        <v>0</v>
      </c>
      <c r="I145" s="42">
        <f t="shared" si="44"/>
        <v>0</v>
      </c>
      <c r="J145" s="42">
        <f t="shared" si="44"/>
        <v>0</v>
      </c>
      <c r="K145" s="42">
        <f t="shared" si="44"/>
        <v>207617.29264600005</v>
      </c>
      <c r="L145" s="42">
        <f t="shared" si="44"/>
        <v>207617.29264600005</v>
      </c>
      <c r="M145" s="42">
        <f t="shared" si="44"/>
        <v>207617.29264600005</v>
      </c>
      <c r="N145" s="42">
        <f>SUM(N146:N147)</f>
        <v>207617</v>
      </c>
      <c r="O145" s="42">
        <f t="shared" si="44"/>
        <v>3.7353999970946461E-2</v>
      </c>
      <c r="P145" s="42"/>
    </row>
    <row r="146" spans="2:17" x14ac:dyDescent="0.25">
      <c r="B146" s="50" t="s">
        <v>340</v>
      </c>
      <c r="C146" s="112" t="s">
        <v>342</v>
      </c>
      <c r="D146" s="113" t="s">
        <v>343</v>
      </c>
      <c r="E146" s="25"/>
      <c r="F146" s="25"/>
      <c r="G146" s="25"/>
      <c r="H146" s="25"/>
      <c r="I146" s="25"/>
      <c r="J146" s="25"/>
      <c r="K146" s="25">
        <f>[4]PIVOT_2023!H92-K147</f>
        <v>162450.96264600003</v>
      </c>
      <c r="L146" s="25">
        <f t="shared" ref="L146:L154" si="45">E146+F146+G146+H146+I146+J146+K146</f>
        <v>162450.96264600003</v>
      </c>
      <c r="M146" s="25">
        <v>162450.96264600003</v>
      </c>
      <c r="N146" s="25">
        <f t="shared" ref="N146:N148" si="46">ROUND(M146,0)</f>
        <v>162451</v>
      </c>
      <c r="O146" s="25">
        <f t="shared" si="39"/>
        <v>3.7353999970946461E-2</v>
      </c>
      <c r="P146" s="26"/>
    </row>
    <row r="147" spans="2:17" x14ac:dyDescent="0.25">
      <c r="B147" s="50"/>
      <c r="C147" s="112" t="s">
        <v>344</v>
      </c>
      <c r="D147" s="113" t="s">
        <v>345</v>
      </c>
      <c r="E147" s="25"/>
      <c r="F147" s="25"/>
      <c r="G147" s="25"/>
      <c r="H147" s="25"/>
      <c r="I147" s="25"/>
      <c r="J147" s="25"/>
      <c r="K147" s="25">
        <f>[4]PIVOT_2023!H95</f>
        <v>45166.33</v>
      </c>
      <c r="L147" s="25">
        <f t="shared" si="45"/>
        <v>45166.33</v>
      </c>
      <c r="M147" s="25">
        <v>45166.33</v>
      </c>
      <c r="N147" s="25">
        <f t="shared" si="46"/>
        <v>45166</v>
      </c>
      <c r="O147" s="25"/>
      <c r="P147" s="26"/>
    </row>
    <row r="148" spans="2:17" x14ac:dyDescent="0.25">
      <c r="B148" s="50" t="s">
        <v>346</v>
      </c>
      <c r="C148" s="107" t="s">
        <v>49</v>
      </c>
      <c r="D148" s="108" t="s">
        <v>347</v>
      </c>
      <c r="E148" s="42">
        <v>6813</v>
      </c>
      <c r="F148" s="53">
        <f>F62</f>
        <v>342263</v>
      </c>
      <c r="G148" s="42"/>
      <c r="H148" s="42"/>
      <c r="I148" s="42"/>
      <c r="J148" s="42"/>
      <c r="K148" s="42"/>
      <c r="L148" s="42">
        <f t="shared" si="45"/>
        <v>349076</v>
      </c>
      <c r="M148" s="42">
        <v>349076</v>
      </c>
      <c r="N148" s="42">
        <f t="shared" si="46"/>
        <v>349076</v>
      </c>
      <c r="O148" s="42">
        <f t="shared" si="39"/>
        <v>0</v>
      </c>
      <c r="P148" s="109"/>
    </row>
    <row r="149" spans="2:17" x14ac:dyDescent="0.25">
      <c r="C149" s="110" t="s">
        <v>50</v>
      </c>
      <c r="D149" s="111" t="s">
        <v>348</v>
      </c>
      <c r="E149" s="29">
        <v>190002</v>
      </c>
      <c r="F149" s="29">
        <f t="shared" ref="F149:N149" si="47">F150</f>
        <v>70000</v>
      </c>
      <c r="G149" s="29">
        <f t="shared" si="47"/>
        <v>0</v>
      </c>
      <c r="H149" s="29">
        <f t="shared" si="47"/>
        <v>0</v>
      </c>
      <c r="I149" s="29">
        <f t="shared" si="47"/>
        <v>0</v>
      </c>
      <c r="J149" s="29">
        <f t="shared" si="47"/>
        <v>0</v>
      </c>
      <c r="K149" s="29">
        <f t="shared" si="47"/>
        <v>0</v>
      </c>
      <c r="L149" s="29">
        <f t="shared" si="47"/>
        <v>260002</v>
      </c>
      <c r="M149" s="29">
        <f t="shared" si="47"/>
        <v>260002</v>
      </c>
      <c r="N149" s="29">
        <f t="shared" si="47"/>
        <v>260002</v>
      </c>
      <c r="O149" s="29">
        <f t="shared" si="39"/>
        <v>0</v>
      </c>
      <c r="P149" s="30"/>
    </row>
    <row r="150" spans="2:17" ht="16.2" customHeight="1" x14ac:dyDescent="0.25">
      <c r="B150" s="50" t="s">
        <v>349</v>
      </c>
      <c r="C150" s="107" t="s">
        <v>53</v>
      </c>
      <c r="D150" s="108" t="s">
        <v>350</v>
      </c>
      <c r="E150" s="42">
        <v>190002</v>
      </c>
      <c r="F150" s="42">
        <f>F22</f>
        <v>70000</v>
      </c>
      <c r="G150" s="42"/>
      <c r="H150" s="42"/>
      <c r="I150" s="42"/>
      <c r="J150" s="42"/>
      <c r="K150" s="42"/>
      <c r="L150" s="42">
        <f>E150+F150+G150+H150+I150+J150+K150</f>
        <v>260002</v>
      </c>
      <c r="M150" s="42">
        <v>260002</v>
      </c>
      <c r="N150" s="42">
        <f>ROUND(M150,0)</f>
        <v>260002</v>
      </c>
      <c r="O150" s="42">
        <f t="shared" si="39"/>
        <v>0</v>
      </c>
      <c r="P150" s="54"/>
    </row>
    <row r="151" spans="2:17" ht="27.6" x14ac:dyDescent="0.25">
      <c r="C151" s="110" t="s">
        <v>58</v>
      </c>
      <c r="D151" s="111" t="s">
        <v>351</v>
      </c>
      <c r="E151" s="29">
        <v>330504.90000000002</v>
      </c>
      <c r="F151" s="29">
        <f t="shared" ref="F151:N151" si="48">F152+F153+F154+F155+F166</f>
        <v>1200</v>
      </c>
      <c r="G151" s="29">
        <f t="shared" si="48"/>
        <v>860821.1</v>
      </c>
      <c r="H151" s="29">
        <f t="shared" si="48"/>
        <v>3294458.0022</v>
      </c>
      <c r="I151" s="29">
        <f t="shared" si="48"/>
        <v>8421112.8361329995</v>
      </c>
      <c r="J151" s="29">
        <f t="shared" si="48"/>
        <v>2029618.85</v>
      </c>
      <c r="K151" s="29">
        <f t="shared" si="48"/>
        <v>1391525.6841199999</v>
      </c>
      <c r="L151" s="29">
        <f t="shared" si="48"/>
        <v>16329241.372453</v>
      </c>
      <c r="M151" s="29">
        <f t="shared" si="48"/>
        <v>16329241.372453</v>
      </c>
      <c r="N151" s="29">
        <f t="shared" si="48"/>
        <v>16329241</v>
      </c>
      <c r="O151" s="29">
        <f>O153+O154+O155+O166</f>
        <v>-0.3724529993487522</v>
      </c>
      <c r="P151" s="29"/>
    </row>
    <row r="152" spans="2:17" ht="32.25" customHeight="1" x14ac:dyDescent="0.25">
      <c r="B152" s="50" t="s">
        <v>335</v>
      </c>
      <c r="C152" s="107" t="s">
        <v>31</v>
      </c>
      <c r="D152" s="114" t="s">
        <v>336</v>
      </c>
      <c r="E152" s="42"/>
      <c r="F152" s="42"/>
      <c r="G152" s="42"/>
      <c r="H152" s="42"/>
      <c r="I152" s="42"/>
      <c r="J152" s="42"/>
      <c r="K152" s="115">
        <f>[4]PIVOT_2023!H105</f>
        <v>70000</v>
      </c>
      <c r="L152" s="115">
        <f t="shared" ref="L152" si="49">E152+F152+G152+H152+I152+J152+K152</f>
        <v>70000</v>
      </c>
      <c r="M152" s="42">
        <v>70000</v>
      </c>
      <c r="N152" s="42">
        <f t="shared" ref="N152" si="50">ROUND(M152,0)</f>
        <v>70000</v>
      </c>
      <c r="O152" s="42">
        <f t="shared" ref="O152" si="51">N152-M152</f>
        <v>0</v>
      </c>
      <c r="P152" s="109"/>
    </row>
    <row r="153" spans="2:17" ht="19.2" customHeight="1" x14ac:dyDescent="0.25">
      <c r="B153" s="50" t="s">
        <v>352</v>
      </c>
      <c r="C153" s="107" t="s">
        <v>61</v>
      </c>
      <c r="D153" s="114" t="s">
        <v>353</v>
      </c>
      <c r="E153" s="115"/>
      <c r="F153" s="115"/>
      <c r="G153" s="115"/>
      <c r="H153" s="115"/>
      <c r="I153" s="115"/>
      <c r="J153" s="115"/>
      <c r="K153" s="115">
        <f>[4]PIVOT_2023!H106</f>
        <v>313523.70461999997</v>
      </c>
      <c r="L153" s="115">
        <f t="shared" si="45"/>
        <v>313523.70461999997</v>
      </c>
      <c r="M153" s="115">
        <v>313523.70461999997</v>
      </c>
      <c r="N153" s="115">
        <f>ROUND(M153,0)</f>
        <v>313524</v>
      </c>
      <c r="O153" s="115">
        <f t="shared" si="39"/>
        <v>0.29538000002503395</v>
      </c>
      <c r="P153" s="54"/>
    </row>
    <row r="154" spans="2:17" ht="18" customHeight="1" x14ac:dyDescent="0.25">
      <c r="B154" s="50" t="s">
        <v>354</v>
      </c>
      <c r="C154" s="107" t="s">
        <v>73</v>
      </c>
      <c r="D154" s="114" t="s">
        <v>355</v>
      </c>
      <c r="E154" s="115"/>
      <c r="F154" s="115"/>
      <c r="G154" s="115"/>
      <c r="H154" s="115"/>
      <c r="I154" s="115"/>
      <c r="J154" s="115">
        <f>[4]Pivot_invest_2023!E46</f>
        <v>78000</v>
      </c>
      <c r="K154" s="115">
        <f>[4]PIVOT_2023!H119</f>
        <v>267571.12844500004</v>
      </c>
      <c r="L154" s="115">
        <f t="shared" si="45"/>
        <v>345571.12844500004</v>
      </c>
      <c r="M154" s="115">
        <v>345571.12844500004</v>
      </c>
      <c r="N154" s="115">
        <f>ROUND(M154,0)</f>
        <v>345571</v>
      </c>
      <c r="O154" s="115">
        <f t="shared" si="39"/>
        <v>-0.12844500003848225</v>
      </c>
      <c r="P154" s="54"/>
    </row>
    <row r="155" spans="2:17" x14ac:dyDescent="0.25">
      <c r="C155" s="107" t="s">
        <v>356</v>
      </c>
      <c r="D155" s="114" t="s">
        <v>357</v>
      </c>
      <c r="E155" s="115">
        <v>96582</v>
      </c>
      <c r="F155" s="115">
        <f t="shared" ref="F155:O155" si="52">SUM(F156:F165)</f>
        <v>1200</v>
      </c>
      <c r="G155" s="115">
        <f t="shared" si="52"/>
        <v>14100</v>
      </c>
      <c r="H155" s="115">
        <f t="shared" si="52"/>
        <v>304346</v>
      </c>
      <c r="I155" s="115">
        <f t="shared" si="52"/>
        <v>0</v>
      </c>
      <c r="J155" s="115">
        <f t="shared" si="52"/>
        <v>708088</v>
      </c>
      <c r="K155" s="115">
        <f t="shared" si="52"/>
        <v>402654.04988000001</v>
      </c>
      <c r="L155" s="115">
        <f t="shared" si="52"/>
        <v>1526970.0498800001</v>
      </c>
      <c r="M155" s="115">
        <f t="shared" si="52"/>
        <v>1526970.0498800001</v>
      </c>
      <c r="N155" s="115">
        <f t="shared" si="52"/>
        <v>1526970</v>
      </c>
      <c r="O155" s="115">
        <f t="shared" si="52"/>
        <v>-4.9880000064149499E-2</v>
      </c>
      <c r="P155" s="115"/>
    </row>
    <row r="156" spans="2:17" ht="27.6" customHeight="1" x14ac:dyDescent="0.25">
      <c r="B156" s="50" t="s">
        <v>172</v>
      </c>
      <c r="C156" s="112" t="s">
        <v>358</v>
      </c>
      <c r="D156" s="88" t="s">
        <v>359</v>
      </c>
      <c r="E156" s="25">
        <v>10621</v>
      </c>
      <c r="F156" s="25">
        <v>1200</v>
      </c>
      <c r="G156" s="25"/>
      <c r="H156" s="25"/>
      <c r="I156" s="25"/>
      <c r="J156" s="25">
        <f>[4]Pivot_invest_2023!E4+[4]Pivot_invest_2023!E44+[4]Pivot_invest_2023!E65-E156</f>
        <v>594638</v>
      </c>
      <c r="K156" s="25">
        <f>[4]PIVOT_2023!H111</f>
        <v>402654.04988000001</v>
      </c>
      <c r="L156" s="25">
        <f>E156+F156+G156+H156+I156+J156+K156</f>
        <v>1009113.0498800001</v>
      </c>
      <c r="M156" s="25">
        <v>1009113.0498800001</v>
      </c>
      <c r="N156" s="25">
        <f>ROUND(M156,0)+5033</f>
        <v>1014146</v>
      </c>
      <c r="O156" s="25">
        <f t="shared" si="39"/>
        <v>5032.9501199999359</v>
      </c>
      <c r="P156" s="116" t="s">
        <v>360</v>
      </c>
      <c r="Q156" s="3"/>
    </row>
    <row r="157" spans="2:17" ht="15" customHeight="1" x14ac:dyDescent="0.25">
      <c r="B157" s="50" t="s">
        <v>361</v>
      </c>
      <c r="C157" s="112" t="s">
        <v>362</v>
      </c>
      <c r="D157" s="88" t="s">
        <v>363</v>
      </c>
      <c r="E157" s="25"/>
      <c r="F157" s="25"/>
      <c r="G157" s="25"/>
      <c r="H157" s="25"/>
      <c r="I157" s="25"/>
      <c r="J157" s="25">
        <v>40000</v>
      </c>
      <c r="K157" s="25"/>
      <c r="L157" s="25">
        <f t="shared" ref="L157:L165" si="53">E157+F157+G157+H157+I157+J157+K157</f>
        <v>40000</v>
      </c>
      <c r="M157" s="25">
        <v>40000</v>
      </c>
      <c r="N157" s="25">
        <f t="shared" ref="N157:N162" si="54">ROUND(M157,0)</f>
        <v>40000</v>
      </c>
      <c r="O157" s="25">
        <f t="shared" si="39"/>
        <v>0</v>
      </c>
      <c r="P157" s="116"/>
      <c r="Q157" s="3"/>
    </row>
    <row r="158" spans="2:17" ht="16.5" customHeight="1" x14ac:dyDescent="0.25">
      <c r="B158" s="50" t="s">
        <v>361</v>
      </c>
      <c r="C158" s="112" t="s">
        <v>364</v>
      </c>
      <c r="D158" s="88" t="s">
        <v>365</v>
      </c>
      <c r="E158" s="25"/>
      <c r="F158" s="25"/>
      <c r="G158" s="25"/>
      <c r="H158" s="25"/>
      <c r="I158" s="25"/>
      <c r="J158" s="25">
        <f>[4]Pivot_invest_2023!E45-J157</f>
        <v>10000</v>
      </c>
      <c r="K158" s="25"/>
      <c r="L158" s="25">
        <f t="shared" si="53"/>
        <v>10000</v>
      </c>
      <c r="M158" s="25">
        <v>10000</v>
      </c>
      <c r="N158" s="25">
        <f t="shared" si="54"/>
        <v>10000</v>
      </c>
      <c r="O158" s="25">
        <f t="shared" si="39"/>
        <v>0</v>
      </c>
      <c r="P158" s="116"/>
    </row>
    <row r="159" spans="2:17" ht="31.5" customHeight="1" x14ac:dyDescent="0.25">
      <c r="B159" s="50" t="s">
        <v>366</v>
      </c>
      <c r="C159" s="117" t="s">
        <v>367</v>
      </c>
      <c r="D159" s="55" t="s">
        <v>368</v>
      </c>
      <c r="E159" s="25">
        <v>42000</v>
      </c>
      <c r="F159" s="25"/>
      <c r="G159" s="25"/>
      <c r="H159" s="25"/>
      <c r="I159" s="25"/>
      <c r="J159" s="25">
        <f>[4]Pivot_invest_2023!E7-SUM(E159:I159)</f>
        <v>0</v>
      </c>
      <c r="K159" s="25"/>
      <c r="L159" s="25">
        <f t="shared" si="53"/>
        <v>42000</v>
      </c>
      <c r="M159" s="25">
        <v>42000</v>
      </c>
      <c r="N159" s="25">
        <f>ROUND(M159,0)+18000</f>
        <v>60000</v>
      </c>
      <c r="O159" s="25">
        <f t="shared" si="39"/>
        <v>18000</v>
      </c>
      <c r="P159" s="116" t="s">
        <v>369</v>
      </c>
    </row>
    <row r="160" spans="2:17" ht="40.950000000000003" customHeight="1" x14ac:dyDescent="0.25">
      <c r="B160" s="50" t="s">
        <v>370</v>
      </c>
      <c r="C160" s="117" t="s">
        <v>371</v>
      </c>
      <c r="D160" s="120" t="s">
        <v>372</v>
      </c>
      <c r="E160" s="25"/>
      <c r="F160" s="25"/>
      <c r="G160" s="25"/>
      <c r="H160" s="25">
        <f>H113</f>
        <v>59922</v>
      </c>
      <c r="I160" s="25"/>
      <c r="J160" s="25">
        <f>[4]Pivot_invest_2023!E8-SUM(E160:I160)</f>
        <v>25368</v>
      </c>
      <c r="K160" s="25"/>
      <c r="L160" s="25">
        <f t="shared" si="53"/>
        <v>85290</v>
      </c>
      <c r="M160" s="25">
        <v>85290</v>
      </c>
      <c r="N160" s="25">
        <f t="shared" si="54"/>
        <v>85290</v>
      </c>
      <c r="O160" s="25">
        <f t="shared" si="39"/>
        <v>0</v>
      </c>
      <c r="P160" s="116"/>
    </row>
    <row r="161" spans="2:18" ht="15.75" customHeight="1" x14ac:dyDescent="0.25">
      <c r="B161" s="50" t="s">
        <v>373</v>
      </c>
      <c r="C161" s="117" t="s">
        <v>374</v>
      </c>
      <c r="D161" s="120" t="s">
        <v>219</v>
      </c>
      <c r="E161" s="25"/>
      <c r="F161" s="25"/>
      <c r="G161" s="25"/>
      <c r="H161" s="25">
        <f>H114</f>
        <v>207089</v>
      </c>
      <c r="I161" s="25"/>
      <c r="J161" s="25">
        <f>[4]Pivot_invest_2023!E9-SUM(E161:I161)</f>
        <v>29082</v>
      </c>
      <c r="K161" s="25"/>
      <c r="L161" s="25">
        <f t="shared" si="53"/>
        <v>236171</v>
      </c>
      <c r="M161" s="25">
        <v>236171</v>
      </c>
      <c r="N161" s="25">
        <f t="shared" si="54"/>
        <v>236171</v>
      </c>
      <c r="O161" s="25">
        <f t="shared" si="39"/>
        <v>0</v>
      </c>
      <c r="P161" s="116"/>
    </row>
    <row r="162" spans="2:18" ht="25.2" customHeight="1" x14ac:dyDescent="0.25">
      <c r="B162" s="50" t="s">
        <v>375</v>
      </c>
      <c r="C162" s="117" t="s">
        <v>376</v>
      </c>
      <c r="D162" s="120" t="s">
        <v>186</v>
      </c>
      <c r="E162" s="25">
        <v>7821</v>
      </c>
      <c r="F162" s="25"/>
      <c r="G162" s="25"/>
      <c r="H162" s="25">
        <f>H117</f>
        <v>37335</v>
      </c>
      <c r="I162" s="25"/>
      <c r="J162" s="25">
        <f>[4]Pivot_invest_2023!E6-SUM(E162:I162)</f>
        <v>8084</v>
      </c>
      <c r="K162" s="25"/>
      <c r="L162" s="25">
        <f t="shared" si="53"/>
        <v>53240</v>
      </c>
      <c r="M162" s="25">
        <v>53240</v>
      </c>
      <c r="N162" s="25">
        <f t="shared" si="54"/>
        <v>53240</v>
      </c>
      <c r="O162" s="25">
        <f t="shared" si="39"/>
        <v>0</v>
      </c>
      <c r="P162" s="38"/>
    </row>
    <row r="163" spans="2:18" ht="57.6" customHeight="1" x14ac:dyDescent="0.25">
      <c r="B163" s="50" t="s">
        <v>172</v>
      </c>
      <c r="C163" s="117" t="s">
        <v>377</v>
      </c>
      <c r="D163" s="55" t="s">
        <v>378</v>
      </c>
      <c r="E163" s="25">
        <v>32020</v>
      </c>
      <c r="F163" s="25"/>
      <c r="G163" s="25"/>
      <c r="H163" s="25"/>
      <c r="I163" s="25"/>
      <c r="J163" s="25">
        <f>[4]Pivot_invest_2023!E32-SUM(E163:I163)</f>
        <v>0</v>
      </c>
      <c r="K163" s="25"/>
      <c r="L163" s="25">
        <f t="shared" si="53"/>
        <v>32020</v>
      </c>
      <c r="M163" s="25">
        <v>32020</v>
      </c>
      <c r="N163" s="25">
        <f>32020-18000-5033</f>
        <v>8987</v>
      </c>
      <c r="O163" s="25">
        <f t="shared" si="39"/>
        <v>-23033</v>
      </c>
      <c r="P163" s="116" t="s">
        <v>379</v>
      </c>
    </row>
    <row r="164" spans="2:18" ht="27.6" customHeight="1" x14ac:dyDescent="0.25">
      <c r="B164" s="50" t="s">
        <v>252</v>
      </c>
      <c r="C164" s="117" t="s">
        <v>380</v>
      </c>
      <c r="D164" s="120" t="s">
        <v>381</v>
      </c>
      <c r="E164" s="25">
        <v>4120</v>
      </c>
      <c r="F164" s="25"/>
      <c r="G164" s="25"/>
      <c r="H164" s="25"/>
      <c r="I164" s="25"/>
      <c r="J164" s="25">
        <f>[4]Pivot_invest_2023!E5-SUM(E164:I164)</f>
        <v>16</v>
      </c>
      <c r="K164" s="25"/>
      <c r="L164" s="25">
        <f t="shared" si="53"/>
        <v>4136</v>
      </c>
      <c r="M164" s="25">
        <v>4136</v>
      </c>
      <c r="N164" s="25">
        <v>4136</v>
      </c>
      <c r="O164" s="25">
        <f t="shared" si="39"/>
        <v>0</v>
      </c>
      <c r="P164" s="116"/>
    </row>
    <row r="165" spans="2:18" ht="27.6" customHeight="1" x14ac:dyDescent="0.25">
      <c r="B165" s="50" t="s">
        <v>382</v>
      </c>
      <c r="C165" s="117" t="s">
        <v>383</v>
      </c>
      <c r="D165" s="120" t="s">
        <v>221</v>
      </c>
      <c r="E165" s="25"/>
      <c r="F165" s="25"/>
      <c r="G165" s="25">
        <f>G85</f>
        <v>14100</v>
      </c>
      <c r="H165" s="25"/>
      <c r="I165" s="25"/>
      <c r="J165" s="25">
        <f>[4]Pivot_invest_2023!E12-SUM(E165:I165)</f>
        <v>900</v>
      </c>
      <c r="K165" s="25"/>
      <c r="L165" s="25">
        <f t="shared" si="53"/>
        <v>15000</v>
      </c>
      <c r="M165" s="25">
        <v>15000</v>
      </c>
      <c r="N165" s="25">
        <v>15000</v>
      </c>
      <c r="O165" s="25">
        <f t="shared" si="39"/>
        <v>0</v>
      </c>
      <c r="P165" s="116"/>
    </row>
    <row r="166" spans="2:18" ht="29.25" customHeight="1" x14ac:dyDescent="0.25">
      <c r="C166" s="107" t="s">
        <v>384</v>
      </c>
      <c r="D166" s="114" t="s">
        <v>385</v>
      </c>
      <c r="E166" s="115">
        <v>233922.9</v>
      </c>
      <c r="F166" s="115">
        <f t="shared" ref="F166:N166" si="55">SUM(F167:F172,F176:F184)</f>
        <v>0</v>
      </c>
      <c r="G166" s="115">
        <f t="shared" si="55"/>
        <v>846721.1</v>
      </c>
      <c r="H166" s="115">
        <f t="shared" si="55"/>
        <v>2990112.0022</v>
      </c>
      <c r="I166" s="115">
        <f t="shared" si="55"/>
        <v>8421112.8361329995</v>
      </c>
      <c r="J166" s="115">
        <f t="shared" si="55"/>
        <v>1243530.8500000001</v>
      </c>
      <c r="K166" s="115">
        <f t="shared" si="55"/>
        <v>337776.80117500003</v>
      </c>
      <c r="L166" s="115">
        <f t="shared" si="55"/>
        <v>14073176.489507999</v>
      </c>
      <c r="M166" s="115">
        <f t="shared" si="55"/>
        <v>14073176.489507999</v>
      </c>
      <c r="N166" s="115">
        <f t="shared" si="55"/>
        <v>14073176</v>
      </c>
      <c r="O166" s="115">
        <f t="shared" si="39"/>
        <v>-0.4895079992711544</v>
      </c>
      <c r="P166" s="118"/>
    </row>
    <row r="167" spans="2:18" ht="17.25" customHeight="1" x14ac:dyDescent="0.25">
      <c r="C167" s="112" t="s">
        <v>386</v>
      </c>
      <c r="D167" s="120" t="s">
        <v>387</v>
      </c>
      <c r="E167" s="25"/>
      <c r="F167" s="25"/>
      <c r="G167" s="25"/>
      <c r="H167" s="25"/>
      <c r="I167" s="25"/>
      <c r="J167" s="25"/>
      <c r="K167" s="25"/>
      <c r="L167" s="25">
        <f t="shared" ref="L167:L184" si="56">E167+F167+G167+H167+I167+J167+K167</f>
        <v>0</v>
      </c>
      <c r="M167" s="25">
        <v>0</v>
      </c>
      <c r="N167" s="25">
        <f>ROUND(M167,0)</f>
        <v>0</v>
      </c>
      <c r="O167" s="25">
        <f t="shared" si="39"/>
        <v>0</v>
      </c>
      <c r="P167" s="119"/>
    </row>
    <row r="168" spans="2:18" ht="15.75" customHeight="1" x14ac:dyDescent="0.25">
      <c r="B168" s="50" t="s">
        <v>388</v>
      </c>
      <c r="C168" s="112" t="s">
        <v>389</v>
      </c>
      <c r="D168" s="120" t="s">
        <v>390</v>
      </c>
      <c r="E168" s="25"/>
      <c r="F168" s="25"/>
      <c r="G168" s="25"/>
      <c r="H168" s="25"/>
      <c r="I168" s="25"/>
      <c r="J168" s="25"/>
      <c r="K168" s="25">
        <f>[4]PIVOT_2023!H124</f>
        <v>160572.14087500004</v>
      </c>
      <c r="L168" s="25">
        <f t="shared" si="56"/>
        <v>160572.14087500004</v>
      </c>
      <c r="M168" s="25">
        <v>160572.14087500004</v>
      </c>
      <c r="N168" s="25">
        <f>ROUND(M168,0)</f>
        <v>160572</v>
      </c>
      <c r="O168" s="25">
        <f t="shared" si="39"/>
        <v>-0.14087500004097819</v>
      </c>
      <c r="P168" s="121"/>
    </row>
    <row r="169" spans="2:18" ht="13.95" customHeight="1" x14ac:dyDescent="0.25">
      <c r="B169" s="50" t="s">
        <v>391</v>
      </c>
      <c r="C169" s="112" t="s">
        <v>392</v>
      </c>
      <c r="D169" s="120" t="s">
        <v>393</v>
      </c>
      <c r="E169" s="25">
        <v>72387</v>
      </c>
      <c r="F169" s="25"/>
      <c r="G169" s="25"/>
      <c r="H169" s="25"/>
      <c r="I169" s="25"/>
      <c r="J169" s="25">
        <f>[4]Pivot_invest_2023!E33-SUM(E169:I169)</f>
        <v>283314</v>
      </c>
      <c r="K169" s="25"/>
      <c r="L169" s="122">
        <f t="shared" si="56"/>
        <v>355701</v>
      </c>
      <c r="M169" s="25">
        <v>355701</v>
      </c>
      <c r="N169" s="25">
        <f t="shared" ref="N169:N184" si="57">ROUND(M169,0)</f>
        <v>355701</v>
      </c>
      <c r="O169" s="25">
        <f t="shared" si="39"/>
        <v>0</v>
      </c>
      <c r="P169" s="116"/>
    </row>
    <row r="170" spans="2:18" ht="27" customHeight="1" x14ac:dyDescent="0.25">
      <c r="B170" s="50" t="s">
        <v>181</v>
      </c>
      <c r="C170" s="117" t="s">
        <v>394</v>
      </c>
      <c r="D170" s="120" t="s">
        <v>293</v>
      </c>
      <c r="E170" s="25">
        <v>90431.9</v>
      </c>
      <c r="F170" s="25"/>
      <c r="G170" s="25">
        <f>G69</f>
        <v>109839.1</v>
      </c>
      <c r="H170" s="25">
        <f>H116</f>
        <v>624704</v>
      </c>
      <c r="I170" s="25"/>
      <c r="J170" s="25">
        <f>[4]Pivot_invest_2023!E13-SUM(E170:I170)</f>
        <v>66164</v>
      </c>
      <c r="K170" s="25"/>
      <c r="L170" s="25">
        <f t="shared" si="56"/>
        <v>891139</v>
      </c>
      <c r="M170" s="25">
        <v>891139</v>
      </c>
      <c r="N170" s="25">
        <f t="shared" si="57"/>
        <v>891139</v>
      </c>
      <c r="O170" s="25">
        <f t="shared" si="39"/>
        <v>0</v>
      </c>
      <c r="P170" s="116"/>
    </row>
    <row r="171" spans="2:18" ht="25.95" customHeight="1" x14ac:dyDescent="0.25">
      <c r="B171" s="50" t="s">
        <v>395</v>
      </c>
      <c r="C171" s="112" t="s">
        <v>396</v>
      </c>
      <c r="D171" s="120" t="s">
        <v>397</v>
      </c>
      <c r="E171" s="123">
        <v>0</v>
      </c>
      <c r="F171" s="25"/>
      <c r="G171" s="25"/>
      <c r="H171" s="25"/>
      <c r="I171" s="67">
        <f>[4]PIVOT_2023!H137-SUM(E171:H171)</f>
        <v>3779449</v>
      </c>
      <c r="J171" s="67"/>
      <c r="K171" s="25"/>
      <c r="L171" s="122">
        <f t="shared" si="56"/>
        <v>3779449</v>
      </c>
      <c r="M171" s="25">
        <v>3779449</v>
      </c>
      <c r="N171" s="25">
        <f t="shared" si="57"/>
        <v>3779449</v>
      </c>
      <c r="O171" s="25">
        <f t="shared" si="39"/>
        <v>0</v>
      </c>
      <c r="P171" s="116"/>
    </row>
    <row r="172" spans="2:18" ht="32.25" customHeight="1" x14ac:dyDescent="0.25">
      <c r="B172" s="50" t="s">
        <v>9</v>
      </c>
      <c r="C172" s="112" t="s">
        <v>398</v>
      </c>
      <c r="D172" s="120" t="s">
        <v>399</v>
      </c>
      <c r="E172" s="25"/>
      <c r="F172" s="25"/>
      <c r="G172" s="25"/>
      <c r="H172" s="25"/>
      <c r="I172" s="25">
        <f>SUM(I173:I175)</f>
        <v>4641663.8361329995</v>
      </c>
      <c r="J172" s="25">
        <f>SUM(J173:J175)</f>
        <v>733906.5</v>
      </c>
      <c r="K172" s="25">
        <f t="shared" ref="K172" si="58">SUM(K173:K175)</f>
        <v>177204.66029999999</v>
      </c>
      <c r="L172" s="122">
        <f t="shared" si="56"/>
        <v>5552774.9964329991</v>
      </c>
      <c r="M172" s="67">
        <f>SUM(M173:M175)</f>
        <v>5552774.9964329991</v>
      </c>
      <c r="N172" s="67">
        <f>SUM(N173:N175)</f>
        <v>5552775</v>
      </c>
      <c r="O172" s="25">
        <f t="shared" si="39"/>
        <v>3.5670008510351181E-3</v>
      </c>
      <c r="P172" s="116"/>
      <c r="R172" s="3"/>
    </row>
    <row r="173" spans="2:18" ht="16.95" customHeight="1" x14ac:dyDescent="0.25">
      <c r="B173" s="50"/>
      <c r="C173" s="124" t="s">
        <v>400</v>
      </c>
      <c r="D173" s="125" t="s">
        <v>401</v>
      </c>
      <c r="E173" s="25"/>
      <c r="F173" s="25"/>
      <c r="G173" s="25"/>
      <c r="H173" s="25"/>
      <c r="I173" s="126">
        <f>[4]PIVOT_2023!H132</f>
        <v>4346663.8361329995</v>
      </c>
      <c r="J173" s="127">
        <f>[4]Pivot_invest_2023!E54-[4]Pivot_invest_2023!J54-[4]Pivot_invest_2023!K54+[4]Pivot_invest_2023!E78-[4]Pivot_invest_2023!K78-J175-J181-J182-J183-J178-J179-J180</f>
        <v>649376.5</v>
      </c>
      <c r="K173" s="127"/>
      <c r="L173" s="128">
        <f t="shared" si="56"/>
        <v>4996040.3361329995</v>
      </c>
      <c r="M173" s="67">
        <v>4996040.3361329995</v>
      </c>
      <c r="N173" s="67">
        <f t="shared" si="57"/>
        <v>4996040</v>
      </c>
      <c r="O173" s="25">
        <f t="shared" si="39"/>
        <v>-0.33613299950957298</v>
      </c>
      <c r="P173" s="116"/>
      <c r="Q173" s="3"/>
      <c r="R173" s="3"/>
    </row>
    <row r="174" spans="2:18" ht="16.95" customHeight="1" x14ac:dyDescent="0.25">
      <c r="B174" s="50"/>
      <c r="C174" s="124" t="s">
        <v>402</v>
      </c>
      <c r="D174" s="125" t="s">
        <v>403</v>
      </c>
      <c r="E174" s="25"/>
      <c r="F174" s="25"/>
      <c r="G174" s="25"/>
      <c r="H174" s="25"/>
      <c r="I174" s="126">
        <f>[4]PIVOT_2023!H143</f>
        <v>295000</v>
      </c>
      <c r="J174" s="129"/>
      <c r="K174" s="127"/>
      <c r="L174" s="128">
        <f t="shared" si="56"/>
        <v>295000</v>
      </c>
      <c r="M174" s="67">
        <v>295000</v>
      </c>
      <c r="N174" s="67">
        <f t="shared" si="57"/>
        <v>295000</v>
      </c>
      <c r="O174" s="25">
        <f t="shared" si="39"/>
        <v>0</v>
      </c>
      <c r="P174" s="116"/>
      <c r="Q174" s="3"/>
      <c r="R174" s="3"/>
    </row>
    <row r="175" spans="2:18" ht="16.95" customHeight="1" x14ac:dyDescent="0.25">
      <c r="B175" s="50"/>
      <c r="C175" s="124" t="s">
        <v>404</v>
      </c>
      <c r="D175" s="125" t="s">
        <v>405</v>
      </c>
      <c r="E175" s="25"/>
      <c r="F175" s="25"/>
      <c r="G175" s="25"/>
      <c r="H175" s="25"/>
      <c r="I175" s="127"/>
      <c r="J175" s="127">
        <f>3600+6800+54930+19200</f>
        <v>84530</v>
      </c>
      <c r="K175" s="127">
        <f>[4]PIVOT_2023!H129</f>
        <v>177204.66029999999</v>
      </c>
      <c r="L175" s="128">
        <f t="shared" si="56"/>
        <v>261734.66029999999</v>
      </c>
      <c r="M175" s="67">
        <v>261734.66029999999</v>
      </c>
      <c r="N175" s="67">
        <f t="shared" si="57"/>
        <v>261735</v>
      </c>
      <c r="O175" s="25">
        <f t="shared" si="39"/>
        <v>0.33970000001136214</v>
      </c>
      <c r="P175" s="116"/>
      <c r="Q175" s="3"/>
      <c r="R175" s="3"/>
    </row>
    <row r="176" spans="2:18" ht="29.25" customHeight="1" x14ac:dyDescent="0.25">
      <c r="B176" s="50" t="s">
        <v>406</v>
      </c>
      <c r="C176" s="112" t="s">
        <v>407</v>
      </c>
      <c r="D176" s="120" t="s">
        <v>408</v>
      </c>
      <c r="E176" s="25"/>
      <c r="F176" s="25"/>
      <c r="G176" s="25"/>
      <c r="H176" s="25"/>
      <c r="I176" s="25"/>
      <c r="J176" s="25"/>
      <c r="K176" s="25"/>
      <c r="L176" s="25">
        <f t="shared" si="56"/>
        <v>0</v>
      </c>
      <c r="M176" s="25">
        <v>0</v>
      </c>
      <c r="N176" s="25">
        <f t="shared" si="57"/>
        <v>0</v>
      </c>
      <c r="O176" s="25">
        <f t="shared" si="39"/>
        <v>0</v>
      </c>
      <c r="P176" s="38"/>
      <c r="Q176" s="18">
        <f>Q172+Q168+Q167</f>
        <v>0</v>
      </c>
    </row>
    <row r="177" spans="2:16" ht="39.6" customHeight="1" x14ac:dyDescent="0.25">
      <c r="B177" s="50" t="s">
        <v>409</v>
      </c>
      <c r="C177" s="117" t="s">
        <v>410</v>
      </c>
      <c r="D177" s="120" t="s">
        <v>189</v>
      </c>
      <c r="E177" s="130">
        <v>71104</v>
      </c>
      <c r="F177" s="130"/>
      <c r="G177" s="130"/>
      <c r="H177" s="130">
        <f>H115</f>
        <v>320141.00220000005</v>
      </c>
      <c r="I177" s="130"/>
      <c r="J177" s="130">
        <f>[4]Pivot_invest_2023!E10-SUM(E177:I177)</f>
        <v>0.34999999997671694</v>
      </c>
      <c r="K177" s="130"/>
      <c r="L177" s="25">
        <f t="shared" si="56"/>
        <v>391245.35220000002</v>
      </c>
      <c r="M177" s="25">
        <v>391245.35220000002</v>
      </c>
      <c r="N177" s="25">
        <f t="shared" si="57"/>
        <v>391245</v>
      </c>
      <c r="O177" s="25">
        <f t="shared" si="39"/>
        <v>-0.35220000002300367</v>
      </c>
      <c r="P177" s="116"/>
    </row>
    <row r="178" spans="2:16" ht="16.2" customHeight="1" x14ac:dyDescent="0.25">
      <c r="B178" s="50"/>
      <c r="C178" s="117" t="s">
        <v>411</v>
      </c>
      <c r="D178" s="120" t="s">
        <v>412</v>
      </c>
      <c r="E178" s="130"/>
      <c r="F178" s="130"/>
      <c r="G178" s="130">
        <f>G40</f>
        <v>16000</v>
      </c>
      <c r="H178" s="130"/>
      <c r="I178" s="130"/>
      <c r="J178" s="130">
        <f>16000</f>
        <v>16000</v>
      </c>
      <c r="K178" s="130"/>
      <c r="L178" s="25">
        <f t="shared" si="56"/>
        <v>32000</v>
      </c>
      <c r="M178" s="25">
        <v>32000</v>
      </c>
      <c r="N178" s="25">
        <f t="shared" si="57"/>
        <v>32000</v>
      </c>
      <c r="O178" s="25">
        <f t="shared" si="39"/>
        <v>0</v>
      </c>
      <c r="P178" s="116"/>
    </row>
    <row r="179" spans="2:16" ht="25.95" customHeight="1" x14ac:dyDescent="0.25">
      <c r="B179" s="50"/>
      <c r="C179" s="117" t="s">
        <v>413</v>
      </c>
      <c r="D179" s="120" t="s">
        <v>304</v>
      </c>
      <c r="E179" s="130"/>
      <c r="F179" s="130"/>
      <c r="G179" s="130"/>
      <c r="H179" s="130">
        <f>H123</f>
        <v>203000</v>
      </c>
      <c r="I179" s="130"/>
      <c r="J179" s="130">
        <f>293146-SUM(E179:I179)</f>
        <v>90146</v>
      </c>
      <c r="K179" s="130"/>
      <c r="L179" s="122">
        <f t="shared" si="56"/>
        <v>293146</v>
      </c>
      <c r="M179" s="25">
        <v>293146</v>
      </c>
      <c r="N179" s="25">
        <f t="shared" si="57"/>
        <v>293146</v>
      </c>
      <c r="O179" s="25">
        <f t="shared" si="39"/>
        <v>0</v>
      </c>
      <c r="P179" s="116"/>
    </row>
    <row r="180" spans="2:16" ht="28.2" customHeight="1" x14ac:dyDescent="0.25">
      <c r="B180" s="50"/>
      <c r="C180" s="117" t="s">
        <v>414</v>
      </c>
      <c r="D180" s="120" t="s">
        <v>306</v>
      </c>
      <c r="E180" s="130"/>
      <c r="F180" s="130"/>
      <c r="G180" s="130"/>
      <c r="H180" s="130">
        <f>H124</f>
        <v>126000</v>
      </c>
      <c r="I180" s="130"/>
      <c r="J180" s="130">
        <f>180000-SUM(E180:I180)</f>
        <v>54000</v>
      </c>
      <c r="K180" s="130"/>
      <c r="L180" s="122">
        <f t="shared" si="56"/>
        <v>180000</v>
      </c>
      <c r="M180" s="25">
        <v>180000</v>
      </c>
      <c r="N180" s="25">
        <f t="shared" si="57"/>
        <v>180000</v>
      </c>
      <c r="O180" s="25">
        <f t="shared" si="39"/>
        <v>0</v>
      </c>
      <c r="P180" s="116"/>
    </row>
    <row r="181" spans="2:16" ht="18.600000000000001" customHeight="1" x14ac:dyDescent="0.25">
      <c r="B181" s="50"/>
      <c r="C181" s="117" t="s">
        <v>415</v>
      </c>
      <c r="D181" s="120" t="s">
        <v>300</v>
      </c>
      <c r="E181" s="130"/>
      <c r="F181" s="130"/>
      <c r="G181" s="130"/>
      <c r="H181" s="130">
        <f>H120</f>
        <v>645000</v>
      </c>
      <c r="I181" s="130"/>
      <c r="J181" s="130"/>
      <c r="K181" s="130"/>
      <c r="L181" s="122">
        <f t="shared" si="56"/>
        <v>645000</v>
      </c>
      <c r="M181" s="25">
        <v>645000</v>
      </c>
      <c r="N181" s="25">
        <f t="shared" si="57"/>
        <v>645000</v>
      </c>
      <c r="O181" s="25">
        <f t="shared" si="39"/>
        <v>0</v>
      </c>
      <c r="P181" s="116"/>
    </row>
    <row r="182" spans="2:16" ht="18.600000000000001" customHeight="1" x14ac:dyDescent="0.25">
      <c r="B182" s="50"/>
      <c r="C182" s="117" t="s">
        <v>416</v>
      </c>
      <c r="D182" s="120" t="s">
        <v>223</v>
      </c>
      <c r="E182" s="130"/>
      <c r="F182" s="130"/>
      <c r="G182" s="61">
        <f>G86</f>
        <v>382739</v>
      </c>
      <c r="H182" s="130">
        <f>H121</f>
        <v>164032</v>
      </c>
      <c r="I182" s="130"/>
      <c r="J182" s="130"/>
      <c r="K182" s="130"/>
      <c r="L182" s="25">
        <f t="shared" si="56"/>
        <v>546771</v>
      </c>
      <c r="M182" s="25">
        <v>546771</v>
      </c>
      <c r="N182" s="25">
        <f t="shared" si="57"/>
        <v>546771</v>
      </c>
      <c r="O182" s="25">
        <f t="shared" si="39"/>
        <v>0</v>
      </c>
      <c r="P182" s="116"/>
    </row>
    <row r="183" spans="2:16" ht="18" customHeight="1" x14ac:dyDescent="0.25">
      <c r="B183" s="50"/>
      <c r="C183" s="117" t="s">
        <v>417</v>
      </c>
      <c r="D183" s="120" t="s">
        <v>225</v>
      </c>
      <c r="E183" s="130"/>
      <c r="F183" s="130"/>
      <c r="G183" s="61">
        <f>G87</f>
        <v>297245</v>
      </c>
      <c r="H183" s="130">
        <f>H122</f>
        <v>907235</v>
      </c>
      <c r="I183" s="130"/>
      <c r="J183" s="130"/>
      <c r="K183" s="130"/>
      <c r="L183" s="122">
        <f t="shared" si="56"/>
        <v>1204480</v>
      </c>
      <c r="M183" s="25">
        <v>1204480</v>
      </c>
      <c r="N183" s="25">
        <f t="shared" si="57"/>
        <v>1204480</v>
      </c>
      <c r="O183" s="25">
        <f t="shared" si="39"/>
        <v>0</v>
      </c>
      <c r="P183" s="116"/>
    </row>
    <row r="184" spans="2:16" ht="27.6" customHeight="1" x14ac:dyDescent="0.25">
      <c r="B184" s="50" t="s">
        <v>418</v>
      </c>
      <c r="C184" s="117" t="s">
        <v>419</v>
      </c>
      <c r="D184" s="120" t="s">
        <v>420</v>
      </c>
      <c r="E184" s="61">
        <v>0</v>
      </c>
      <c r="F184" s="25">
        <f>F77</f>
        <v>0</v>
      </c>
      <c r="G184" s="61">
        <f>G77</f>
        <v>40898</v>
      </c>
      <c r="H184" s="67"/>
      <c r="I184" s="25"/>
      <c r="J184" s="25">
        <f>[4]Pivot_invest_2023!E11-SUM(E184:I184)</f>
        <v>0</v>
      </c>
      <c r="K184" s="25"/>
      <c r="L184" s="25">
        <f t="shared" si="56"/>
        <v>40898</v>
      </c>
      <c r="M184" s="25">
        <v>40898</v>
      </c>
      <c r="N184" s="25">
        <f t="shared" si="57"/>
        <v>40898</v>
      </c>
      <c r="O184" s="25">
        <f t="shared" si="39"/>
        <v>0</v>
      </c>
      <c r="P184" s="38"/>
    </row>
    <row r="185" spans="2:16" x14ac:dyDescent="0.25">
      <c r="C185" s="110" t="s">
        <v>97</v>
      </c>
      <c r="D185" s="111" t="s">
        <v>421</v>
      </c>
      <c r="E185" s="29">
        <v>15704</v>
      </c>
      <c r="F185" s="29">
        <f t="shared" ref="F185:N185" si="59">SUM(F186,F190:F197)</f>
        <v>13088</v>
      </c>
      <c r="G185" s="29">
        <f t="shared" si="59"/>
        <v>202410</v>
      </c>
      <c r="H185" s="29">
        <f t="shared" si="59"/>
        <v>0</v>
      </c>
      <c r="I185" s="29">
        <f t="shared" si="59"/>
        <v>0</v>
      </c>
      <c r="J185" s="29">
        <f t="shared" si="59"/>
        <v>597179.64</v>
      </c>
      <c r="K185" s="29">
        <f t="shared" si="59"/>
        <v>1658616.7036900001</v>
      </c>
      <c r="L185" s="29">
        <f t="shared" si="59"/>
        <v>2486998.34369</v>
      </c>
      <c r="M185" s="29">
        <f t="shared" si="59"/>
        <v>2486998.34369</v>
      </c>
      <c r="N185" s="29">
        <f t="shared" si="59"/>
        <v>2486999</v>
      </c>
      <c r="O185" s="29">
        <f t="shared" ref="O185" si="60">SUM(O186,O191:O197)</f>
        <v>0.25630999998065818</v>
      </c>
      <c r="P185" s="29"/>
    </row>
    <row r="186" spans="2:16" ht="23.25" customHeight="1" x14ac:dyDescent="0.25">
      <c r="C186" s="107" t="s">
        <v>100</v>
      </c>
      <c r="D186" s="108" t="s">
        <v>422</v>
      </c>
      <c r="E186" s="42">
        <v>0</v>
      </c>
      <c r="F186" s="42">
        <f t="shared" ref="F186:O186" si="61">SUM(F187:F189)</f>
        <v>13088</v>
      </c>
      <c r="G186" s="42">
        <f t="shared" si="61"/>
        <v>0</v>
      </c>
      <c r="H186" s="42">
        <f t="shared" si="61"/>
        <v>0</v>
      </c>
      <c r="I186" s="42">
        <f t="shared" si="61"/>
        <v>0</v>
      </c>
      <c r="J186" s="42">
        <f t="shared" si="61"/>
        <v>297862</v>
      </c>
      <c r="K186" s="42">
        <f t="shared" si="61"/>
        <v>876157.66266999999</v>
      </c>
      <c r="L186" s="42">
        <f t="shared" si="61"/>
        <v>1187107.66267</v>
      </c>
      <c r="M186" s="42">
        <f t="shared" si="61"/>
        <v>1187107.66267</v>
      </c>
      <c r="N186" s="42">
        <f t="shared" si="61"/>
        <v>1187108</v>
      </c>
      <c r="O186" s="42">
        <f t="shared" si="61"/>
        <v>0.3373299999802839</v>
      </c>
      <c r="P186" s="42"/>
    </row>
    <row r="187" spans="2:16" ht="13.95" customHeight="1" x14ac:dyDescent="0.25">
      <c r="B187" s="50" t="s">
        <v>423</v>
      </c>
      <c r="C187" s="112" t="s">
        <v>424</v>
      </c>
      <c r="D187" s="113" t="s">
        <v>425</v>
      </c>
      <c r="E187" s="25"/>
      <c r="F187" s="25">
        <v>8329</v>
      </c>
      <c r="G187" s="25"/>
      <c r="H187" s="25"/>
      <c r="I187" s="25"/>
      <c r="J187" s="25">
        <f>[4]Pivot_invest_2023!E48+[4]Pivot_invest_2023!E67</f>
        <v>160362</v>
      </c>
      <c r="K187" s="25">
        <f>[4]PIVOT_2023!H154</f>
        <v>420416.49502000003</v>
      </c>
      <c r="L187" s="25">
        <f t="shared" ref="L187:L197" si="62">E187+F187+G187+H187+I187+J187+K187</f>
        <v>589107.49502000003</v>
      </c>
      <c r="M187" s="25">
        <v>589107.49502000003</v>
      </c>
      <c r="N187" s="25">
        <f>ROUND(M187,0)</f>
        <v>589107</v>
      </c>
      <c r="O187" s="25">
        <f t="shared" si="39"/>
        <v>-0.49502000003121793</v>
      </c>
      <c r="P187" s="116"/>
    </row>
    <row r="188" spans="2:16" ht="18" customHeight="1" x14ac:dyDescent="0.25">
      <c r="B188" s="50" t="s">
        <v>426</v>
      </c>
      <c r="C188" s="112" t="s">
        <v>427</v>
      </c>
      <c r="D188" s="113" t="s">
        <v>428</v>
      </c>
      <c r="E188" s="25"/>
      <c r="F188" s="25">
        <v>4759</v>
      </c>
      <c r="G188" s="25"/>
      <c r="H188" s="25"/>
      <c r="I188" s="25"/>
      <c r="J188" s="25">
        <f>[4]Pivot_invest_2023!E49+[4]Pivot_invest_2023!E68</f>
        <v>135000</v>
      </c>
      <c r="K188" s="25">
        <f>[4]PIVOT_2023!H162</f>
        <v>269874.66324999998</v>
      </c>
      <c r="L188" s="25">
        <f t="shared" si="62"/>
        <v>409633.66324999998</v>
      </c>
      <c r="M188" s="25">
        <v>409633.66324999998</v>
      </c>
      <c r="N188" s="25">
        <f>ROUND(M188,0)</f>
        <v>409634</v>
      </c>
      <c r="O188" s="25">
        <f t="shared" si="39"/>
        <v>0.33675000001676381</v>
      </c>
      <c r="P188" s="116"/>
    </row>
    <row r="189" spans="2:16" ht="13.2" customHeight="1" x14ac:dyDescent="0.25">
      <c r="B189" s="50" t="s">
        <v>429</v>
      </c>
      <c r="C189" s="112" t="s">
        <v>430</v>
      </c>
      <c r="D189" s="113" t="s">
        <v>431</v>
      </c>
      <c r="E189" s="25"/>
      <c r="F189" s="25"/>
      <c r="G189" s="25"/>
      <c r="H189" s="25"/>
      <c r="I189" s="25"/>
      <c r="J189" s="25">
        <f>[4]Pivot_invest_2023!E14</f>
        <v>2500</v>
      </c>
      <c r="K189" s="25">
        <f>[4]PIVOT_2023!H188</f>
        <v>185866.50440000001</v>
      </c>
      <c r="L189" s="25">
        <f t="shared" si="62"/>
        <v>188366.50440000001</v>
      </c>
      <c r="M189" s="25">
        <v>188366.50440000001</v>
      </c>
      <c r="N189" s="25">
        <f>ROUND(M189,0)</f>
        <v>188367</v>
      </c>
      <c r="O189" s="25">
        <f t="shared" si="39"/>
        <v>0.49559999999473803</v>
      </c>
      <c r="P189" s="38"/>
    </row>
    <row r="190" spans="2:16" ht="16.2" customHeight="1" x14ac:dyDescent="0.25">
      <c r="B190" s="50" t="s">
        <v>432</v>
      </c>
      <c r="C190" s="131" t="s">
        <v>102</v>
      </c>
      <c r="D190" s="108" t="s">
        <v>433</v>
      </c>
      <c r="E190" s="42"/>
      <c r="F190" s="42"/>
      <c r="G190" s="42"/>
      <c r="H190" s="42"/>
      <c r="I190" s="42"/>
      <c r="J190" s="42">
        <f>[4]Pivot_invest_2023!E50</f>
        <v>135145.60000000001</v>
      </c>
      <c r="K190" s="42"/>
      <c r="L190" s="42">
        <f t="shared" si="62"/>
        <v>135145.60000000001</v>
      </c>
      <c r="M190" s="42">
        <v>135145.60000000001</v>
      </c>
      <c r="N190" s="42">
        <f t="shared" ref="N190:N197" si="63">ROUND(M190,0)</f>
        <v>135146</v>
      </c>
      <c r="O190" s="42">
        <f t="shared" si="39"/>
        <v>0.39999999999417923</v>
      </c>
      <c r="P190" s="132"/>
    </row>
    <row r="191" spans="2:16" ht="29.4" customHeight="1" x14ac:dyDescent="0.25">
      <c r="B191" s="50" t="s">
        <v>434</v>
      </c>
      <c r="C191" s="131" t="s">
        <v>435</v>
      </c>
      <c r="D191" s="108" t="s">
        <v>436</v>
      </c>
      <c r="E191" s="42">
        <v>0</v>
      </c>
      <c r="F191" s="42"/>
      <c r="G191" s="42">
        <f>G80</f>
        <v>202410</v>
      </c>
      <c r="H191" s="42"/>
      <c r="I191" s="42"/>
      <c r="J191" s="42">
        <f>[4]Pivot_invest_2023!E15-SUM(E191:I191)</f>
        <v>10012.110000000015</v>
      </c>
      <c r="K191" s="42"/>
      <c r="L191" s="42">
        <f t="shared" si="62"/>
        <v>212422.11000000002</v>
      </c>
      <c r="M191" s="42">
        <v>212422.11000000002</v>
      </c>
      <c r="N191" s="42">
        <f t="shared" si="63"/>
        <v>212422</v>
      </c>
      <c r="O191" s="42">
        <f t="shared" si="39"/>
        <v>-0.11000000001513399</v>
      </c>
      <c r="P191" s="132"/>
    </row>
    <row r="192" spans="2:16" ht="27" customHeight="1" x14ac:dyDescent="0.25">
      <c r="B192" s="50" t="s">
        <v>437</v>
      </c>
      <c r="C192" s="131" t="s">
        <v>438</v>
      </c>
      <c r="D192" s="108" t="s">
        <v>213</v>
      </c>
      <c r="E192" s="42">
        <v>15704</v>
      </c>
      <c r="F192" s="42"/>
      <c r="G192" s="42"/>
      <c r="H192" s="42"/>
      <c r="I192" s="42"/>
      <c r="J192" s="42">
        <f>[4]Pivot_invest_2023!E16-SUM(E192:I192)</f>
        <v>3.0000000000654836E-2</v>
      </c>
      <c r="K192" s="42"/>
      <c r="L192" s="42">
        <f t="shared" si="62"/>
        <v>15704.03</v>
      </c>
      <c r="M192" s="42">
        <v>15704.03</v>
      </c>
      <c r="N192" s="42">
        <f t="shared" si="63"/>
        <v>15704</v>
      </c>
      <c r="O192" s="42">
        <f t="shared" si="39"/>
        <v>-3.0000000000654836E-2</v>
      </c>
      <c r="P192" s="54"/>
    </row>
    <row r="193" spans="2:16" ht="15.6" customHeight="1" x14ac:dyDescent="0.25">
      <c r="B193" s="50" t="s">
        <v>439</v>
      </c>
      <c r="C193" s="107" t="s">
        <v>440</v>
      </c>
      <c r="D193" s="108" t="s">
        <v>441</v>
      </c>
      <c r="E193" s="42"/>
      <c r="F193" s="42"/>
      <c r="G193" s="42"/>
      <c r="H193" s="42"/>
      <c r="I193" s="42"/>
      <c r="J193" s="42"/>
      <c r="K193" s="42">
        <f>[4]PIVOT_2023!H169</f>
        <v>121138.2865</v>
      </c>
      <c r="L193" s="42">
        <f t="shared" si="62"/>
        <v>121138.2865</v>
      </c>
      <c r="M193" s="42">
        <v>121138.2865</v>
      </c>
      <c r="N193" s="42">
        <f t="shared" si="63"/>
        <v>121138</v>
      </c>
      <c r="O193" s="42">
        <f t="shared" si="39"/>
        <v>-0.28650000000197906</v>
      </c>
      <c r="P193" s="132"/>
    </row>
    <row r="194" spans="2:16" ht="15.6" customHeight="1" x14ac:dyDescent="0.25">
      <c r="B194" s="50" t="s">
        <v>442</v>
      </c>
      <c r="C194" s="107" t="s">
        <v>443</v>
      </c>
      <c r="D194" s="108" t="s">
        <v>444</v>
      </c>
      <c r="E194" s="42"/>
      <c r="F194" s="42"/>
      <c r="G194" s="42"/>
      <c r="H194" s="42"/>
      <c r="I194" s="42"/>
      <c r="J194" s="42"/>
      <c r="K194" s="42">
        <f>[4]PIVOT_2023!H174</f>
        <v>62655.829250000003</v>
      </c>
      <c r="L194" s="42">
        <f t="shared" si="62"/>
        <v>62655.829250000003</v>
      </c>
      <c r="M194" s="42">
        <v>62655.829250000003</v>
      </c>
      <c r="N194" s="42">
        <f t="shared" si="63"/>
        <v>62656</v>
      </c>
      <c r="O194" s="42">
        <f t="shared" si="39"/>
        <v>0.17074999999749707</v>
      </c>
      <c r="P194" s="132"/>
    </row>
    <row r="195" spans="2:16" ht="17.25" customHeight="1" x14ac:dyDescent="0.25">
      <c r="B195" s="50" t="s">
        <v>269</v>
      </c>
      <c r="C195" s="107" t="s">
        <v>445</v>
      </c>
      <c r="D195" s="108" t="s">
        <v>446</v>
      </c>
      <c r="E195" s="42"/>
      <c r="F195" s="42"/>
      <c r="G195" s="42"/>
      <c r="H195" s="42"/>
      <c r="I195" s="42"/>
      <c r="J195" s="42">
        <f>[4]Pivot_invest_2023!E47+[4]Pivot_invest_2023!E66</f>
        <v>150159.9</v>
      </c>
      <c r="K195" s="42">
        <f>[4]PIVOT_2023!H179</f>
        <v>579436.75136999995</v>
      </c>
      <c r="L195" s="42">
        <f t="shared" si="62"/>
        <v>729596.65136999998</v>
      </c>
      <c r="M195" s="42">
        <v>729596.65136999998</v>
      </c>
      <c r="N195" s="42">
        <f t="shared" si="63"/>
        <v>729597</v>
      </c>
      <c r="O195" s="42">
        <f t="shared" ref="O195:O258" si="64">N195-M195</f>
        <v>0.34863000002223998</v>
      </c>
      <c r="P195" s="54"/>
    </row>
    <row r="196" spans="2:16" ht="15.6" customHeight="1" x14ac:dyDescent="0.25">
      <c r="B196" s="50" t="s">
        <v>447</v>
      </c>
      <c r="C196" s="107" t="s">
        <v>448</v>
      </c>
      <c r="D196" s="108" t="s">
        <v>449</v>
      </c>
      <c r="E196" s="42"/>
      <c r="F196" s="42"/>
      <c r="G196" s="42"/>
      <c r="H196" s="42"/>
      <c r="I196" s="42"/>
      <c r="J196" s="42">
        <f>[4]Pivot_invest_2023!E69</f>
        <v>4000</v>
      </c>
      <c r="K196" s="42"/>
      <c r="L196" s="42">
        <f t="shared" si="62"/>
        <v>4000</v>
      </c>
      <c r="M196" s="42">
        <v>4000</v>
      </c>
      <c r="N196" s="42">
        <f t="shared" si="63"/>
        <v>4000</v>
      </c>
      <c r="O196" s="42">
        <f t="shared" si="64"/>
        <v>0</v>
      </c>
      <c r="P196" s="109"/>
    </row>
    <row r="197" spans="2:16" ht="15.6" customHeight="1" x14ac:dyDescent="0.25">
      <c r="B197" s="50" t="s">
        <v>450</v>
      </c>
      <c r="C197" s="107" t="s">
        <v>451</v>
      </c>
      <c r="D197" s="108" t="s">
        <v>452</v>
      </c>
      <c r="E197" s="42"/>
      <c r="F197" s="42"/>
      <c r="G197" s="42"/>
      <c r="H197" s="42"/>
      <c r="I197" s="42"/>
      <c r="J197" s="42"/>
      <c r="K197" s="42">
        <f>[4]PIVOT_2023!H249</f>
        <v>19228.173900000002</v>
      </c>
      <c r="L197" s="42">
        <f t="shared" si="62"/>
        <v>19228.173900000002</v>
      </c>
      <c r="M197" s="42">
        <v>19228.173900000002</v>
      </c>
      <c r="N197" s="42">
        <f t="shared" si="63"/>
        <v>19228</v>
      </c>
      <c r="O197" s="42">
        <f t="shared" si="64"/>
        <v>-0.17390000000159489</v>
      </c>
      <c r="P197" s="109"/>
    </row>
    <row r="198" spans="2:16" s="101" customFormat="1" ht="15.6" customHeight="1" x14ac:dyDescent="0.25">
      <c r="C198" s="110" t="s">
        <v>105</v>
      </c>
      <c r="D198" s="111" t="s">
        <v>453</v>
      </c>
      <c r="E198" s="29">
        <v>384771.79</v>
      </c>
      <c r="F198" s="29">
        <f t="shared" ref="F198:N198" si="65">F199+F205+F208+F212+F213+F214+F215+F216</f>
        <v>1041263</v>
      </c>
      <c r="G198" s="29">
        <f t="shared" si="65"/>
        <v>409094</v>
      </c>
      <c r="H198" s="29">
        <f t="shared" si="65"/>
        <v>0</v>
      </c>
      <c r="I198" s="29">
        <f t="shared" si="65"/>
        <v>0</v>
      </c>
      <c r="J198" s="29">
        <f t="shared" si="65"/>
        <v>134489</v>
      </c>
      <c r="K198" s="29">
        <f t="shared" si="65"/>
        <v>2231559.0900725001</v>
      </c>
      <c r="L198" s="29">
        <f t="shared" si="65"/>
        <v>4201176.8800725006</v>
      </c>
      <c r="M198" s="29">
        <f t="shared" si="65"/>
        <v>4201176.8811799996</v>
      </c>
      <c r="N198" s="29">
        <f t="shared" si="65"/>
        <v>4201177</v>
      </c>
      <c r="O198" s="29">
        <f t="shared" ref="O198" si="66">O199+O205+O208+O212+O213+O214</f>
        <v>0.11881999997422099</v>
      </c>
      <c r="P198" s="29"/>
    </row>
    <row r="199" spans="2:16" s="101" customFormat="1" ht="15" customHeight="1" x14ac:dyDescent="0.25">
      <c r="C199" s="107" t="s">
        <v>108</v>
      </c>
      <c r="D199" s="108" t="s">
        <v>454</v>
      </c>
      <c r="E199" s="42">
        <v>0</v>
      </c>
      <c r="F199" s="42">
        <f t="shared" ref="F199:O199" si="67">F200+F201+F202+F203+F204</f>
        <v>583846</v>
      </c>
      <c r="G199" s="42">
        <f t="shared" si="67"/>
        <v>0</v>
      </c>
      <c r="H199" s="42">
        <f t="shared" si="67"/>
        <v>0</v>
      </c>
      <c r="I199" s="42">
        <f t="shared" si="67"/>
        <v>0</v>
      </c>
      <c r="J199" s="42">
        <f t="shared" si="67"/>
        <v>95000</v>
      </c>
      <c r="K199" s="42">
        <f t="shared" si="67"/>
        <v>1749809.2481999998</v>
      </c>
      <c r="L199" s="42">
        <f t="shared" si="67"/>
        <v>2428655.2481999998</v>
      </c>
      <c r="M199" s="42">
        <f t="shared" si="67"/>
        <v>2428655</v>
      </c>
      <c r="N199" s="42">
        <f t="shared" si="67"/>
        <v>2428655</v>
      </c>
      <c r="O199" s="42">
        <f t="shared" si="67"/>
        <v>0</v>
      </c>
      <c r="P199" s="42"/>
    </row>
    <row r="200" spans="2:16" s="612" customFormat="1" ht="18.600000000000001" customHeight="1" outlineLevel="1" x14ac:dyDescent="0.25">
      <c r="B200" s="612">
        <v>1010</v>
      </c>
      <c r="C200" s="613" t="s">
        <v>455</v>
      </c>
      <c r="D200" s="133" t="s">
        <v>456</v>
      </c>
      <c r="E200" s="130"/>
      <c r="F200" s="130">
        <v>13800</v>
      </c>
      <c r="G200" s="130"/>
      <c r="H200" s="130"/>
      <c r="I200" s="130"/>
      <c r="J200" s="130">
        <f>[4]Pivot_invest_2023!E53</f>
        <v>15000</v>
      </c>
      <c r="K200" s="130">
        <f>[4]PIVOT_2023!H202-K201</f>
        <v>573019.2481999998</v>
      </c>
      <c r="L200" s="130">
        <f>E200+F200+G200+H200+I200+J200+K200</f>
        <v>601819.2481999998</v>
      </c>
      <c r="M200" s="130">
        <v>601819</v>
      </c>
      <c r="N200" s="130">
        <f>ROUND(M200,0)</f>
        <v>601819</v>
      </c>
      <c r="O200" s="130">
        <f t="shared" si="64"/>
        <v>0</v>
      </c>
      <c r="P200" s="134"/>
    </row>
    <row r="201" spans="2:16" s="612" customFormat="1" ht="18.600000000000001" customHeight="1" outlineLevel="1" x14ac:dyDescent="0.25">
      <c r="B201" s="612">
        <v>1010</v>
      </c>
      <c r="C201" s="613" t="s">
        <v>457</v>
      </c>
      <c r="D201" s="133" t="s">
        <v>458</v>
      </c>
      <c r="E201" s="130"/>
      <c r="F201" s="130">
        <f>(50000+73000)</f>
        <v>123000</v>
      </c>
      <c r="G201" s="130"/>
      <c r="H201" s="130"/>
      <c r="I201" s="130"/>
      <c r="J201" s="130">
        <f>[4]Pivot_invest_2023!E56</f>
        <v>80000</v>
      </c>
      <c r="K201" s="130">
        <f>[4]PIVOT_2023!H205</f>
        <v>1170990</v>
      </c>
      <c r="L201" s="130">
        <f>E201+F201+G201+H201+I201+J201+K201</f>
        <v>1373990</v>
      </c>
      <c r="M201" s="130">
        <v>1373990</v>
      </c>
      <c r="N201" s="130">
        <f>ROUND(M201,0)</f>
        <v>1373990</v>
      </c>
      <c r="O201" s="130">
        <f t="shared" si="64"/>
        <v>0</v>
      </c>
      <c r="P201" s="134"/>
    </row>
    <row r="202" spans="2:16" s="612" customFormat="1" ht="17.399999999999999" customHeight="1" outlineLevel="1" x14ac:dyDescent="0.25">
      <c r="B202" s="612">
        <v>1010</v>
      </c>
      <c r="C202" s="613" t="s">
        <v>459</v>
      </c>
      <c r="D202" s="133" t="s">
        <v>460</v>
      </c>
      <c r="E202" s="130"/>
      <c r="F202" s="130">
        <f>F60</f>
        <v>25954</v>
      </c>
      <c r="G202" s="130"/>
      <c r="H202" s="130"/>
      <c r="I202" s="130"/>
      <c r="J202" s="130"/>
      <c r="K202" s="130"/>
      <c r="L202" s="130">
        <f t="shared" ref="L202:L204" si="68">E202+F202+G202+H202+I202+J202+K202</f>
        <v>25954</v>
      </c>
      <c r="M202" s="130">
        <v>25954</v>
      </c>
      <c r="N202" s="130">
        <f>ROUND(M202,0)</f>
        <v>25954</v>
      </c>
      <c r="O202" s="130">
        <f t="shared" si="64"/>
        <v>0</v>
      </c>
      <c r="P202" s="56"/>
    </row>
    <row r="203" spans="2:16" s="612" customFormat="1" outlineLevel="1" x14ac:dyDescent="0.25">
      <c r="B203" s="612">
        <v>1012</v>
      </c>
      <c r="C203" s="613" t="s">
        <v>461</v>
      </c>
      <c r="D203" s="133" t="s">
        <v>462</v>
      </c>
      <c r="E203" s="130"/>
      <c r="F203" s="130">
        <f>F59</f>
        <v>421092</v>
      </c>
      <c r="G203" s="130"/>
      <c r="H203" s="130"/>
      <c r="I203" s="130"/>
      <c r="J203" s="130"/>
      <c r="K203" s="130"/>
      <c r="L203" s="130">
        <f t="shared" si="68"/>
        <v>421092</v>
      </c>
      <c r="M203" s="130">
        <v>421092</v>
      </c>
      <c r="N203" s="130">
        <f>ROUND(M203,0)</f>
        <v>421092</v>
      </c>
      <c r="O203" s="130">
        <f t="shared" si="64"/>
        <v>0</v>
      </c>
      <c r="P203" s="134"/>
    </row>
    <row r="204" spans="2:16" s="612" customFormat="1" outlineLevel="1" x14ac:dyDescent="0.25">
      <c r="B204" s="612">
        <v>1015</v>
      </c>
      <c r="C204" s="613" t="s">
        <v>463</v>
      </c>
      <c r="D204" s="133" t="s">
        <v>464</v>
      </c>
      <c r="E204" s="130"/>
      <c r="F204" s="130"/>
      <c r="G204" s="130"/>
      <c r="H204" s="130"/>
      <c r="I204" s="130"/>
      <c r="J204" s="130"/>
      <c r="K204" s="130">
        <f>[4]PIVOT_2023!H223</f>
        <v>5800</v>
      </c>
      <c r="L204" s="130">
        <f t="shared" si="68"/>
        <v>5800</v>
      </c>
      <c r="M204" s="130">
        <v>5800</v>
      </c>
      <c r="N204" s="130">
        <f>ROUND(M204,0)</f>
        <v>5800</v>
      </c>
      <c r="O204" s="130">
        <f t="shared" si="64"/>
        <v>0</v>
      </c>
      <c r="P204" s="134"/>
    </row>
    <row r="205" spans="2:16" s="101" customFormat="1" ht="19.5" customHeight="1" x14ac:dyDescent="0.25">
      <c r="C205" s="107" t="s">
        <v>112</v>
      </c>
      <c r="D205" s="108" t="s">
        <v>465</v>
      </c>
      <c r="E205" s="42">
        <v>1214</v>
      </c>
      <c r="F205" s="42">
        <f t="shared" ref="F205:L205" si="69">F206+F207</f>
        <v>7417</v>
      </c>
      <c r="G205" s="42">
        <f t="shared" si="69"/>
        <v>0</v>
      </c>
      <c r="H205" s="42">
        <f t="shared" si="69"/>
        <v>0</v>
      </c>
      <c r="I205" s="42">
        <f>I206+I207</f>
        <v>0</v>
      </c>
      <c r="J205" s="42">
        <f t="shared" si="69"/>
        <v>0</v>
      </c>
      <c r="K205" s="42">
        <f t="shared" si="69"/>
        <v>1407</v>
      </c>
      <c r="L205" s="42">
        <f t="shared" si="69"/>
        <v>10038</v>
      </c>
      <c r="M205" s="42">
        <f>M206+M207</f>
        <v>10038</v>
      </c>
      <c r="N205" s="42">
        <f>N206+N207</f>
        <v>10038</v>
      </c>
      <c r="O205" s="42">
        <f t="shared" si="64"/>
        <v>0</v>
      </c>
      <c r="P205" s="54"/>
    </row>
    <row r="206" spans="2:16" s="612" customFormat="1" outlineLevel="1" x14ac:dyDescent="0.25">
      <c r="C206" s="613" t="s">
        <v>466</v>
      </c>
      <c r="D206" s="133" t="s">
        <v>467</v>
      </c>
      <c r="E206" s="130"/>
      <c r="F206" s="130"/>
      <c r="G206" s="130"/>
      <c r="H206" s="130"/>
      <c r="I206" s="130"/>
      <c r="J206" s="130"/>
      <c r="K206" s="130">
        <f>[4]PIVOT_2023!H227</f>
        <v>1407</v>
      </c>
      <c r="L206" s="130">
        <f>E206+F206+G206+H206+I206+J206+K206</f>
        <v>1407</v>
      </c>
      <c r="M206" s="130">
        <v>1407</v>
      </c>
      <c r="N206" s="130">
        <f>ROUND(M206,0)</f>
        <v>1407</v>
      </c>
      <c r="O206" s="130">
        <f t="shared" si="64"/>
        <v>0</v>
      </c>
      <c r="P206" s="134"/>
    </row>
    <row r="207" spans="2:16" s="612" customFormat="1" outlineLevel="1" x14ac:dyDescent="0.25">
      <c r="C207" s="613" t="s">
        <v>468</v>
      </c>
      <c r="D207" s="133" t="s">
        <v>469</v>
      </c>
      <c r="E207" s="130">
        <v>1214</v>
      </c>
      <c r="F207" s="130">
        <f>F68</f>
        <v>7417</v>
      </c>
      <c r="G207" s="130"/>
      <c r="H207" s="130"/>
      <c r="I207" s="130"/>
      <c r="J207" s="130"/>
      <c r="K207" s="130"/>
      <c r="L207" s="130">
        <f>E207+F207+G207+H207+I207+J207+K207</f>
        <v>8631</v>
      </c>
      <c r="M207" s="130">
        <v>8631</v>
      </c>
      <c r="N207" s="130">
        <f>ROUND(M207,0)</f>
        <v>8631</v>
      </c>
      <c r="O207" s="130">
        <f t="shared" si="64"/>
        <v>0</v>
      </c>
      <c r="P207" s="134"/>
    </row>
    <row r="208" spans="2:16" s="101" customFormat="1" ht="30.6" customHeight="1" x14ac:dyDescent="0.25">
      <c r="C208" s="107" t="s">
        <v>114</v>
      </c>
      <c r="D208" s="108" t="s">
        <v>470</v>
      </c>
      <c r="E208" s="135">
        <v>43177</v>
      </c>
      <c r="F208" s="135">
        <f t="shared" ref="F208:O208" si="70">SUM(F209:F211)</f>
        <v>0</v>
      </c>
      <c r="G208" s="135">
        <f t="shared" si="70"/>
        <v>409094</v>
      </c>
      <c r="H208" s="135">
        <f t="shared" si="70"/>
        <v>0</v>
      </c>
      <c r="I208" s="135">
        <f t="shared" si="70"/>
        <v>0</v>
      </c>
      <c r="J208" s="135">
        <f t="shared" si="70"/>
        <v>39489</v>
      </c>
      <c r="K208" s="135">
        <f t="shared" si="70"/>
        <v>347837.75069250003</v>
      </c>
      <c r="L208" s="135">
        <f>SUM(L209:L211)</f>
        <v>839597.75069250003</v>
      </c>
      <c r="M208" s="135">
        <f t="shared" si="70"/>
        <v>839598</v>
      </c>
      <c r="N208" s="135">
        <f t="shared" si="70"/>
        <v>839598</v>
      </c>
      <c r="O208" s="135">
        <f t="shared" si="70"/>
        <v>0</v>
      </c>
      <c r="P208" s="109"/>
    </row>
    <row r="209" spans="2:16" s="101" customFormat="1" ht="15.75" customHeight="1" x14ac:dyDescent="0.25">
      <c r="B209" s="1" t="s">
        <v>471</v>
      </c>
      <c r="C209" s="614" t="s">
        <v>472</v>
      </c>
      <c r="D209" s="136" t="s">
        <v>473</v>
      </c>
      <c r="E209" s="25"/>
      <c r="F209" s="25"/>
      <c r="G209" s="25"/>
      <c r="H209" s="25"/>
      <c r="I209" s="25"/>
      <c r="J209" s="25"/>
      <c r="K209" s="25">
        <f>[4]PIVOT_2023!H210+20142</f>
        <v>347837.39069250005</v>
      </c>
      <c r="L209" s="25">
        <f t="shared" ref="L209:L211" si="71">E209+F209+G209+H209+I209+J209+K209</f>
        <v>347837.39069250005</v>
      </c>
      <c r="M209" s="25">
        <v>347838</v>
      </c>
      <c r="N209" s="25">
        <f t="shared" ref="N209:N216" si="72">ROUND(M209,0)</f>
        <v>347838</v>
      </c>
      <c r="O209" s="25">
        <f t="shared" si="64"/>
        <v>0</v>
      </c>
      <c r="P209" s="26"/>
    </row>
    <row r="210" spans="2:16" s="101" customFormat="1" ht="15.75" customHeight="1" x14ac:dyDescent="0.25">
      <c r="B210" s="1" t="s">
        <v>471</v>
      </c>
      <c r="C210" s="615" t="s">
        <v>474</v>
      </c>
      <c r="D210" s="136" t="s">
        <v>475</v>
      </c>
      <c r="E210" s="25">
        <v>4454</v>
      </c>
      <c r="F210" s="25"/>
      <c r="G210" s="25">
        <f>G74</f>
        <v>117147</v>
      </c>
      <c r="H210" s="25"/>
      <c r="I210" s="25">
        <f>I74</f>
        <v>0</v>
      </c>
      <c r="J210" s="25">
        <f>[4]Pivot_invest_2023!E29-SUM(E210:I210)</f>
        <v>39489</v>
      </c>
      <c r="K210" s="25"/>
      <c r="L210" s="25">
        <f t="shared" si="71"/>
        <v>161090</v>
      </c>
      <c r="M210" s="25">
        <v>161090</v>
      </c>
      <c r="N210" s="25">
        <f t="shared" si="72"/>
        <v>161090</v>
      </c>
      <c r="O210" s="25">
        <f t="shared" si="64"/>
        <v>0</v>
      </c>
      <c r="P210" s="26"/>
    </row>
    <row r="211" spans="2:16" s="101" customFormat="1" ht="15.6" customHeight="1" x14ac:dyDescent="0.25">
      <c r="B211" s="1" t="s">
        <v>476</v>
      </c>
      <c r="C211" s="614" t="s">
        <v>477</v>
      </c>
      <c r="D211" s="136" t="s">
        <v>478</v>
      </c>
      <c r="E211" s="25">
        <v>38723</v>
      </c>
      <c r="F211" s="25"/>
      <c r="G211" s="25">
        <f>G75</f>
        <v>291947</v>
      </c>
      <c r="H211" s="25"/>
      <c r="I211" s="25">
        <f>I75</f>
        <v>0</v>
      </c>
      <c r="J211" s="25">
        <f>[4]Pivot_invest_2023!E30-SUM(E211:I211)</f>
        <v>0</v>
      </c>
      <c r="K211" s="25">
        <f>[4]PIVOT_2023!H216-SUM('2023.gada budzets'!E211:J211)-20142</f>
        <v>0.35999999998603016</v>
      </c>
      <c r="L211" s="25">
        <f t="shared" si="71"/>
        <v>330670.36</v>
      </c>
      <c r="M211" s="25">
        <v>330670</v>
      </c>
      <c r="N211" s="25">
        <f t="shared" si="72"/>
        <v>330670</v>
      </c>
      <c r="O211" s="25">
        <f t="shared" si="64"/>
        <v>0</v>
      </c>
      <c r="P211" s="26"/>
    </row>
    <row r="212" spans="2:16" s="101" customFormat="1" ht="18.75" customHeight="1" x14ac:dyDescent="0.25">
      <c r="C212" s="107" t="s">
        <v>479</v>
      </c>
      <c r="D212" s="108" t="s">
        <v>480</v>
      </c>
      <c r="E212" s="42"/>
      <c r="F212" s="42"/>
      <c r="G212" s="42"/>
      <c r="H212" s="42"/>
      <c r="I212" s="42"/>
      <c r="J212" s="42"/>
      <c r="K212" s="42">
        <f>[4]PIVOT_2023!H230</f>
        <v>132505.09117999999</v>
      </c>
      <c r="L212" s="42">
        <f>E212+F212+G212+H212+I212+J212+K212</f>
        <v>132505.09117999999</v>
      </c>
      <c r="M212" s="42">
        <v>132505.09117999999</v>
      </c>
      <c r="N212" s="42">
        <f t="shared" si="72"/>
        <v>132505</v>
      </c>
      <c r="O212" s="42">
        <f t="shared" si="64"/>
        <v>-9.1179999988526106E-2</v>
      </c>
      <c r="P212" s="109"/>
    </row>
    <row r="213" spans="2:16" s="101" customFormat="1" ht="18.75" customHeight="1" x14ac:dyDescent="0.25">
      <c r="B213" s="1">
        <v>1016</v>
      </c>
      <c r="C213" s="107" t="s">
        <v>481</v>
      </c>
      <c r="D213" s="108" t="s">
        <v>169</v>
      </c>
      <c r="E213" s="42"/>
      <c r="F213" s="42">
        <f>F64</f>
        <v>50000</v>
      </c>
      <c r="G213" s="42"/>
      <c r="H213" s="42"/>
      <c r="I213" s="42"/>
      <c r="J213" s="42"/>
      <c r="K213" s="42"/>
      <c r="L213" s="42">
        <f t="shared" ref="L213:L215" si="73">E213+F213+G213+H213+I213+J213+K213</f>
        <v>50000</v>
      </c>
      <c r="M213" s="42">
        <v>50000</v>
      </c>
      <c r="N213" s="42">
        <f t="shared" si="72"/>
        <v>50000</v>
      </c>
      <c r="O213" s="42">
        <f t="shared" si="64"/>
        <v>0</v>
      </c>
      <c r="P213" s="109"/>
    </row>
    <row r="214" spans="2:16" s="101" customFormat="1" ht="18.75" customHeight="1" x14ac:dyDescent="0.25">
      <c r="B214" s="1">
        <v>1017</v>
      </c>
      <c r="C214" s="107" t="s">
        <v>482</v>
      </c>
      <c r="D214" s="108" t="s">
        <v>171</v>
      </c>
      <c r="E214" s="42">
        <v>298343.78999999998</v>
      </c>
      <c r="F214" s="42">
        <f>F65</f>
        <v>400000</v>
      </c>
      <c r="G214" s="42"/>
      <c r="H214" s="42"/>
      <c r="I214" s="42"/>
      <c r="J214" s="42"/>
      <c r="K214" s="42"/>
      <c r="L214" s="42">
        <f t="shared" si="73"/>
        <v>698343.79</v>
      </c>
      <c r="M214" s="42">
        <v>698343.79</v>
      </c>
      <c r="N214" s="42">
        <f t="shared" si="72"/>
        <v>698344</v>
      </c>
      <c r="O214" s="42">
        <f t="shared" si="64"/>
        <v>0.2099999999627471</v>
      </c>
      <c r="P214" s="109"/>
    </row>
    <row r="215" spans="2:16" ht="40.950000000000003" customHeight="1" x14ac:dyDescent="0.25">
      <c r="B215" s="1" t="s">
        <v>483</v>
      </c>
      <c r="C215" s="107" t="s">
        <v>484</v>
      </c>
      <c r="D215" s="108" t="s">
        <v>485</v>
      </c>
      <c r="E215" s="42">
        <v>23597</v>
      </c>
      <c r="F215" s="42"/>
      <c r="G215" s="42"/>
      <c r="H215" s="42"/>
      <c r="I215" s="42"/>
      <c r="J215" s="42">
        <f>[4]Pivot_invest_2023!E27-SUM(E215:I215)</f>
        <v>0</v>
      </c>
      <c r="K215" s="42"/>
      <c r="L215" s="42">
        <f t="shared" si="73"/>
        <v>23597</v>
      </c>
      <c r="M215" s="42">
        <v>23597</v>
      </c>
      <c r="N215" s="42">
        <f t="shared" si="72"/>
        <v>23597</v>
      </c>
      <c r="O215" s="42">
        <f t="shared" si="64"/>
        <v>0</v>
      </c>
      <c r="P215" s="109"/>
    </row>
    <row r="216" spans="2:16" ht="44.4" customHeight="1" x14ac:dyDescent="0.25">
      <c r="B216" s="1" t="s">
        <v>486</v>
      </c>
      <c r="C216" s="107" t="s">
        <v>487</v>
      </c>
      <c r="D216" s="108" t="s">
        <v>488</v>
      </c>
      <c r="E216" s="42">
        <v>18440</v>
      </c>
      <c r="F216" s="42"/>
      <c r="G216" s="42"/>
      <c r="H216" s="42"/>
      <c r="I216" s="42"/>
      <c r="J216" s="42">
        <f>[4]Pivot_invest_2023!E28-SUM(E216:I216)</f>
        <v>0</v>
      </c>
      <c r="K216" s="42"/>
      <c r="L216" s="42">
        <f>E216+F216+G216+H216+I216+J216+K216</f>
        <v>18440</v>
      </c>
      <c r="M216" s="42">
        <v>18440</v>
      </c>
      <c r="N216" s="42">
        <f t="shared" si="72"/>
        <v>18440</v>
      </c>
      <c r="O216" s="42">
        <f t="shared" si="64"/>
        <v>0</v>
      </c>
      <c r="P216" s="109"/>
    </row>
    <row r="217" spans="2:16" x14ac:dyDescent="0.25">
      <c r="C217" s="110" t="s">
        <v>117</v>
      </c>
      <c r="D217" s="111" t="s">
        <v>489</v>
      </c>
      <c r="E217" s="29">
        <v>515317</v>
      </c>
      <c r="F217" s="29">
        <f t="shared" ref="F217:K217" si="74">F218+F219+F222+F225+F229+F233+F237+F245+F246+F257+F260+F263+F264+F265+F266+F267+F268</f>
        <v>6485502</v>
      </c>
      <c r="G217" s="29">
        <f t="shared" si="74"/>
        <v>84178</v>
      </c>
      <c r="H217" s="29">
        <f t="shared" si="74"/>
        <v>972946</v>
      </c>
      <c r="I217" s="29">
        <f t="shared" si="74"/>
        <v>560177</v>
      </c>
      <c r="J217" s="29">
        <f t="shared" si="74"/>
        <v>512964.39</v>
      </c>
      <c r="K217" s="29">
        <f t="shared" si="74"/>
        <v>12386769.775859235</v>
      </c>
      <c r="L217" s="29">
        <f>L218+L219+L222+L225+L229+L233+L237+L245+L246+L257+L260+L263+L264+L265+L266+L267+L268</f>
        <v>21517854.165859237</v>
      </c>
      <c r="M217" s="29">
        <f t="shared" ref="M217:N217" si="75">M218+M219+M222+M225+M229+M233+M237+M245+M246+M257+M260+M263+M264+M265+M266+M267+M268</f>
        <v>21517854.165859237</v>
      </c>
      <c r="N217" s="29">
        <f t="shared" si="75"/>
        <v>21576210</v>
      </c>
      <c r="O217" s="29">
        <f t="shared" ref="O217" si="76">O218+O219+O222+O225+O229+O233+O237+O246+O257+O260+O263+O264+O265+O266+O267+O268</f>
        <v>58356.224140764331</v>
      </c>
      <c r="P217" s="29"/>
    </row>
    <row r="218" spans="2:16" ht="27.6" customHeight="1" x14ac:dyDescent="0.25">
      <c r="B218" s="137" t="s">
        <v>490</v>
      </c>
      <c r="C218" s="107" t="s">
        <v>491</v>
      </c>
      <c r="D218" s="114" t="s">
        <v>492</v>
      </c>
      <c r="E218" s="42"/>
      <c r="F218" s="42"/>
      <c r="G218" s="42"/>
      <c r="H218" s="42"/>
      <c r="I218" s="42"/>
      <c r="J218" s="42"/>
      <c r="K218" s="42">
        <f>[4]PIVOT_2023!H241</f>
        <v>1009440</v>
      </c>
      <c r="L218" s="42">
        <f>E218+F218+G218+H218+I218+J218+K218</f>
        <v>1009440</v>
      </c>
      <c r="M218" s="42">
        <v>1009440</v>
      </c>
      <c r="N218" s="42">
        <f>ROUND(M218,0)</f>
        <v>1009440</v>
      </c>
      <c r="O218" s="42">
        <f t="shared" si="64"/>
        <v>0</v>
      </c>
      <c r="P218" s="54"/>
    </row>
    <row r="219" spans="2:16" ht="18" customHeight="1" x14ac:dyDescent="0.25">
      <c r="C219" s="107" t="s">
        <v>493</v>
      </c>
      <c r="D219" s="114" t="s">
        <v>494</v>
      </c>
      <c r="E219" s="42">
        <v>60</v>
      </c>
      <c r="F219" s="42">
        <f t="shared" ref="F219:N219" si="77">SUM(F220:F221)</f>
        <v>273701</v>
      </c>
      <c r="G219" s="42">
        <f t="shared" si="77"/>
        <v>0</v>
      </c>
      <c r="H219" s="42">
        <f t="shared" si="77"/>
        <v>0</v>
      </c>
      <c r="I219" s="42">
        <f t="shared" si="77"/>
        <v>0</v>
      </c>
      <c r="J219" s="42">
        <f t="shared" si="77"/>
        <v>73022</v>
      </c>
      <c r="K219" s="42">
        <f t="shared" si="77"/>
        <v>1597136.3519472245</v>
      </c>
      <c r="L219" s="42">
        <f t="shared" si="77"/>
        <v>1943919.3519472245</v>
      </c>
      <c r="M219" s="42">
        <f t="shared" si="77"/>
        <v>1943919.3519472245</v>
      </c>
      <c r="N219" s="42">
        <f t="shared" si="77"/>
        <v>1943919</v>
      </c>
      <c r="O219" s="42">
        <f t="shared" si="64"/>
        <v>-0.35194722446613014</v>
      </c>
      <c r="P219" s="109"/>
    </row>
    <row r="220" spans="2:16" ht="16.2" customHeight="1" x14ac:dyDescent="0.25">
      <c r="B220" s="50" t="s">
        <v>495</v>
      </c>
      <c r="C220" s="112" t="s">
        <v>496</v>
      </c>
      <c r="D220" s="88" t="s">
        <v>497</v>
      </c>
      <c r="E220" s="138">
        <v>60</v>
      </c>
      <c r="F220" s="138">
        <f>273701</f>
        <v>273701</v>
      </c>
      <c r="G220" s="139"/>
      <c r="H220" s="139"/>
      <c r="I220" s="139"/>
      <c r="J220" s="139"/>
      <c r="K220" s="139"/>
      <c r="L220" s="139">
        <f>E220+F220+G220+H220+I220+J220+K220</f>
        <v>273761</v>
      </c>
      <c r="M220" s="139">
        <v>273761</v>
      </c>
      <c r="N220" s="139">
        <f t="shared" ref="N220:N232" si="78">ROUND(M220,0)</f>
        <v>273761</v>
      </c>
      <c r="O220" s="139">
        <f t="shared" si="64"/>
        <v>0</v>
      </c>
      <c r="P220" s="38"/>
    </row>
    <row r="221" spans="2:16" ht="16.2" customHeight="1" x14ac:dyDescent="0.25">
      <c r="B221" s="50" t="s">
        <v>498</v>
      </c>
      <c r="C221" s="112" t="s">
        <v>499</v>
      </c>
      <c r="D221" s="88" t="s">
        <v>500</v>
      </c>
      <c r="E221" s="139"/>
      <c r="F221" s="139"/>
      <c r="G221" s="139"/>
      <c r="H221" s="139"/>
      <c r="I221" s="139"/>
      <c r="J221" s="139">
        <f>[4]Pivot_invest_2023!E72</f>
        <v>73022</v>
      </c>
      <c r="K221" s="139">
        <f>[4]PIVOT_2023!H242</f>
        <v>1597136.3519472245</v>
      </c>
      <c r="L221" s="139">
        <f>E221+F221+G221+H221+I221+J221+K221</f>
        <v>1670158.3519472245</v>
      </c>
      <c r="M221" s="139">
        <v>1670158.3519472245</v>
      </c>
      <c r="N221" s="139">
        <f t="shared" si="78"/>
        <v>1670158</v>
      </c>
      <c r="O221" s="139">
        <f t="shared" si="64"/>
        <v>-0.35194722446613014</v>
      </c>
      <c r="P221" s="140"/>
    </row>
    <row r="222" spans="2:16" ht="18" customHeight="1" x14ac:dyDescent="0.25">
      <c r="C222" s="107" t="s">
        <v>501</v>
      </c>
      <c r="D222" s="114" t="s">
        <v>502</v>
      </c>
      <c r="E222" s="42">
        <v>4</v>
      </c>
      <c r="F222" s="42">
        <f t="shared" ref="F222:L222" si="79">F223+F224</f>
        <v>113939</v>
      </c>
      <c r="G222" s="42">
        <f t="shared" si="79"/>
        <v>0</v>
      </c>
      <c r="H222" s="42">
        <f t="shared" si="79"/>
        <v>0</v>
      </c>
      <c r="I222" s="42">
        <f>I223+I224</f>
        <v>0</v>
      </c>
      <c r="J222" s="42">
        <f t="shared" si="79"/>
        <v>0</v>
      </c>
      <c r="K222" s="42">
        <f t="shared" si="79"/>
        <v>1123630.6494368</v>
      </c>
      <c r="L222" s="42">
        <f t="shared" si="79"/>
        <v>1237573.6494368</v>
      </c>
      <c r="M222" s="42">
        <f>M223+M224</f>
        <v>1237573.6494368</v>
      </c>
      <c r="N222" s="42">
        <f>N223+N224</f>
        <v>1237574</v>
      </c>
      <c r="O222" s="42">
        <f t="shared" si="64"/>
        <v>0.35056319995783269</v>
      </c>
      <c r="P222" s="109"/>
    </row>
    <row r="223" spans="2:16" ht="16.5" customHeight="1" x14ac:dyDescent="0.25">
      <c r="B223" s="50" t="s">
        <v>503</v>
      </c>
      <c r="C223" s="112" t="s">
        <v>504</v>
      </c>
      <c r="D223" s="88" t="s">
        <v>497</v>
      </c>
      <c r="E223" s="138">
        <v>4</v>
      </c>
      <c r="F223" s="138">
        <f>113939</f>
        <v>113939</v>
      </c>
      <c r="G223" s="25"/>
      <c r="H223" s="25"/>
      <c r="I223" s="25"/>
      <c r="J223" s="25"/>
      <c r="K223" s="25"/>
      <c r="L223" s="25">
        <f>E223+F223+G223+H223+I223+J223+K223</f>
        <v>113943</v>
      </c>
      <c r="M223" s="25">
        <v>113943</v>
      </c>
      <c r="N223" s="25">
        <f>ROUND(M223,0)</f>
        <v>113943</v>
      </c>
      <c r="O223" s="25">
        <f t="shared" si="64"/>
        <v>0</v>
      </c>
      <c r="P223" s="38"/>
    </row>
    <row r="224" spans="2:16" ht="15" customHeight="1" x14ac:dyDescent="0.25">
      <c r="B224" s="50" t="s">
        <v>505</v>
      </c>
      <c r="C224" s="112" t="s">
        <v>506</v>
      </c>
      <c r="D224" s="88" t="s">
        <v>500</v>
      </c>
      <c r="E224" s="25"/>
      <c r="F224" s="25"/>
      <c r="G224" s="25"/>
      <c r="H224" s="25"/>
      <c r="I224" s="25"/>
      <c r="J224" s="25"/>
      <c r="K224" s="25">
        <f>[4]PIVOT_2023!H253</f>
        <v>1123630.6494368</v>
      </c>
      <c r="L224" s="25">
        <f>E224+F224+G224+H224+I224+J224+K224</f>
        <v>1123630.6494368</v>
      </c>
      <c r="M224" s="25">
        <v>1123630.6494368</v>
      </c>
      <c r="N224" s="25">
        <f>ROUND(M224,0)</f>
        <v>1123631</v>
      </c>
      <c r="O224" s="25">
        <f t="shared" si="64"/>
        <v>0.35056319995783269</v>
      </c>
      <c r="P224" s="38"/>
    </row>
    <row r="225" spans="2:16" ht="18" customHeight="1" x14ac:dyDescent="0.25">
      <c r="C225" s="141" t="s">
        <v>507</v>
      </c>
      <c r="D225" s="114" t="s">
        <v>508</v>
      </c>
      <c r="E225" s="42">
        <v>1843</v>
      </c>
      <c r="F225" s="42">
        <f t="shared" ref="F225:K225" si="80">F226+F227+F228</f>
        <v>190168</v>
      </c>
      <c r="G225" s="42">
        <f t="shared" si="80"/>
        <v>0</v>
      </c>
      <c r="H225" s="42">
        <f t="shared" si="80"/>
        <v>0</v>
      </c>
      <c r="I225" s="42">
        <f t="shared" si="80"/>
        <v>160349</v>
      </c>
      <c r="J225" s="42">
        <f t="shared" si="80"/>
        <v>1000</v>
      </c>
      <c r="K225" s="42">
        <f t="shared" si="80"/>
        <v>967536.30678672018</v>
      </c>
      <c r="L225" s="42">
        <f>L226+L227+L228</f>
        <v>1320896.3067867202</v>
      </c>
      <c r="M225" s="42">
        <f t="shared" ref="M225:N225" si="81">M226+M227+M228</f>
        <v>1320896.3067867202</v>
      </c>
      <c r="N225" s="42">
        <f t="shared" si="81"/>
        <v>1320896</v>
      </c>
      <c r="O225" s="42">
        <f t="shared" si="64"/>
        <v>-0.30678672017529607</v>
      </c>
      <c r="P225" s="109"/>
    </row>
    <row r="226" spans="2:16" ht="13.5" customHeight="1" x14ac:dyDescent="0.25">
      <c r="B226" s="1" t="s">
        <v>509</v>
      </c>
      <c r="C226" s="112" t="s">
        <v>510</v>
      </c>
      <c r="D226" s="88" t="s">
        <v>497</v>
      </c>
      <c r="E226" s="138">
        <v>1843</v>
      </c>
      <c r="F226" s="138">
        <v>190168</v>
      </c>
      <c r="G226" s="25"/>
      <c r="H226" s="25"/>
      <c r="I226" s="25"/>
      <c r="J226" s="25"/>
      <c r="K226" s="25"/>
      <c r="L226" s="25">
        <f>E226+F226+G226+H226+I226+J226+K226</f>
        <v>192011</v>
      </c>
      <c r="M226" s="25">
        <v>192011</v>
      </c>
      <c r="N226" s="25">
        <f t="shared" si="78"/>
        <v>192011</v>
      </c>
      <c r="O226" s="25">
        <f t="shared" si="64"/>
        <v>0</v>
      </c>
      <c r="P226" s="38"/>
    </row>
    <row r="227" spans="2:16" ht="17.399999999999999" customHeight="1" x14ac:dyDescent="0.25">
      <c r="B227" s="1" t="s">
        <v>511</v>
      </c>
      <c r="C227" s="112" t="s">
        <v>512</v>
      </c>
      <c r="D227" s="88" t="s">
        <v>500</v>
      </c>
      <c r="E227" s="25"/>
      <c r="F227" s="25"/>
      <c r="G227" s="25"/>
      <c r="H227" s="25"/>
      <c r="I227" s="25"/>
      <c r="J227" s="25">
        <f>[4]Pivot_invest_2023!E70</f>
        <v>1000</v>
      </c>
      <c r="K227" s="25">
        <f>[4]PIVOT_2023!H259-I228</f>
        <v>967536.30678672018</v>
      </c>
      <c r="L227" s="25">
        <f>E227+F227+G227+H227+I227+J227+K227</f>
        <v>968536.30678672018</v>
      </c>
      <c r="M227" s="25">
        <v>968536.30678672018</v>
      </c>
      <c r="N227" s="25">
        <f>ROUND(M227,0)</f>
        <v>968536</v>
      </c>
      <c r="O227" s="25">
        <f t="shared" si="64"/>
        <v>-0.30678672017529607</v>
      </c>
      <c r="P227" s="38"/>
    </row>
    <row r="228" spans="2:16" ht="17.399999999999999" customHeight="1" x14ac:dyDescent="0.25">
      <c r="C228" s="112" t="s">
        <v>513</v>
      </c>
      <c r="D228" s="88" t="s">
        <v>514</v>
      </c>
      <c r="E228" s="25"/>
      <c r="F228" s="25"/>
      <c r="G228" s="25"/>
      <c r="H228" s="25"/>
      <c r="I228" s="53">
        <f>[4]PIVOT_2023!H262</f>
        <v>160349</v>
      </c>
      <c r="J228" s="25"/>
      <c r="K228" s="25"/>
      <c r="L228" s="25">
        <f>E228+F228+G228+H228+I228+J228+K228</f>
        <v>160349</v>
      </c>
      <c r="M228" s="25">
        <v>160349</v>
      </c>
      <c r="N228" s="25">
        <f>ROUND(M228,0)</f>
        <v>160349</v>
      </c>
      <c r="O228" s="25">
        <f t="shared" si="64"/>
        <v>0</v>
      </c>
      <c r="P228" s="38"/>
    </row>
    <row r="229" spans="2:16" x14ac:dyDescent="0.25">
      <c r="B229" s="1" t="s">
        <v>515</v>
      </c>
      <c r="C229" s="141" t="s">
        <v>516</v>
      </c>
      <c r="D229" s="114" t="s">
        <v>517</v>
      </c>
      <c r="E229" s="42">
        <v>540</v>
      </c>
      <c r="F229" s="42">
        <f t="shared" ref="F229:N229" si="82">SUM(F230:F232)</f>
        <v>70593</v>
      </c>
      <c r="G229" s="42">
        <f t="shared" si="82"/>
        <v>0</v>
      </c>
      <c r="H229" s="42">
        <f t="shared" si="82"/>
        <v>0</v>
      </c>
      <c r="I229" s="42">
        <f t="shared" si="82"/>
        <v>158747</v>
      </c>
      <c r="J229" s="42">
        <f t="shared" si="82"/>
        <v>13500</v>
      </c>
      <c r="K229" s="42">
        <f t="shared" si="82"/>
        <v>988268.29365084018</v>
      </c>
      <c r="L229" s="42">
        <f t="shared" si="82"/>
        <v>1231648.2936508402</v>
      </c>
      <c r="M229" s="42">
        <f t="shared" si="82"/>
        <v>1231648.2936508402</v>
      </c>
      <c r="N229" s="42">
        <f t="shared" si="82"/>
        <v>1231648</v>
      </c>
      <c r="O229" s="42">
        <f t="shared" si="64"/>
        <v>-0.29365084017626941</v>
      </c>
      <c r="P229" s="109"/>
    </row>
    <row r="230" spans="2:16" s="143" customFormat="1" ht="17.25" customHeight="1" x14ac:dyDescent="0.25">
      <c r="B230" s="142" t="s">
        <v>518</v>
      </c>
      <c r="C230" s="112" t="s">
        <v>519</v>
      </c>
      <c r="D230" s="88" t="s">
        <v>497</v>
      </c>
      <c r="E230" s="138">
        <v>540</v>
      </c>
      <c r="F230" s="138">
        <v>70593</v>
      </c>
      <c r="G230" s="139"/>
      <c r="H230" s="139"/>
      <c r="I230" s="139"/>
      <c r="J230" s="139"/>
      <c r="K230" s="139"/>
      <c r="L230" s="25">
        <f>E230+F230+G230+H230+I230+J230+K230</f>
        <v>71133</v>
      </c>
      <c r="M230" s="25">
        <v>71133</v>
      </c>
      <c r="N230" s="25">
        <f t="shared" si="78"/>
        <v>71133</v>
      </c>
      <c r="O230" s="139">
        <f t="shared" si="64"/>
        <v>0</v>
      </c>
      <c r="P230" s="26"/>
    </row>
    <row r="231" spans="2:16" s="143" customFormat="1" ht="18" customHeight="1" x14ac:dyDescent="0.25">
      <c r="C231" s="112" t="s">
        <v>520</v>
      </c>
      <c r="D231" s="88" t="s">
        <v>500</v>
      </c>
      <c r="E231" s="139"/>
      <c r="F231" s="139"/>
      <c r="G231" s="139"/>
      <c r="H231" s="139"/>
      <c r="I231" s="139"/>
      <c r="J231" s="139">
        <f>[4]Pivot_invest_2023!E71</f>
        <v>13500</v>
      </c>
      <c r="K231" s="139">
        <f>[4]PIVOT_2023!H266-I232</f>
        <v>988268.29365084018</v>
      </c>
      <c r="L231" s="25">
        <f>E231+F231+G231+H231+I231+J231+K231</f>
        <v>1001768.2936508402</v>
      </c>
      <c r="M231" s="25">
        <v>1001768.2936508402</v>
      </c>
      <c r="N231" s="25">
        <f t="shared" si="78"/>
        <v>1001768</v>
      </c>
      <c r="O231" s="139">
        <f t="shared" si="64"/>
        <v>-0.29365084017626941</v>
      </c>
      <c r="P231" s="38"/>
    </row>
    <row r="232" spans="2:16" s="143" customFormat="1" ht="18" customHeight="1" x14ac:dyDescent="0.25">
      <c r="C232" s="112" t="s">
        <v>521</v>
      </c>
      <c r="D232" s="88" t="s">
        <v>514</v>
      </c>
      <c r="E232" s="139"/>
      <c r="F232" s="139"/>
      <c r="G232" s="139"/>
      <c r="H232" s="139"/>
      <c r="I232" s="53">
        <f>[4]PIVOT_2023!H269</f>
        <v>158747</v>
      </c>
      <c r="J232" s="139"/>
      <c r="K232" s="139"/>
      <c r="L232" s="25">
        <f>E232+F232+G232+H232+I232+J232+K232</f>
        <v>158747</v>
      </c>
      <c r="M232" s="25">
        <v>158747</v>
      </c>
      <c r="N232" s="25">
        <f t="shared" si="78"/>
        <v>158747</v>
      </c>
      <c r="O232" s="139">
        <f t="shared" si="64"/>
        <v>0</v>
      </c>
      <c r="P232" s="38"/>
    </row>
    <row r="233" spans="2:16" x14ac:dyDescent="0.25">
      <c r="C233" s="141" t="s">
        <v>522</v>
      </c>
      <c r="D233" s="114" t="s">
        <v>523</v>
      </c>
      <c r="E233" s="42">
        <v>4009</v>
      </c>
      <c r="F233" s="42">
        <f t="shared" ref="F233:J233" si="83">(F234+F235+F236)</f>
        <v>77879</v>
      </c>
      <c r="G233" s="42">
        <f t="shared" si="83"/>
        <v>0</v>
      </c>
      <c r="H233" s="42">
        <f t="shared" si="83"/>
        <v>0</v>
      </c>
      <c r="I233" s="42">
        <f>(I234+I235+I236)</f>
        <v>0</v>
      </c>
      <c r="J233" s="42">
        <f t="shared" si="83"/>
        <v>0</v>
      </c>
      <c r="K233" s="42">
        <f>(K234+K235+K236)</f>
        <v>2056111</v>
      </c>
      <c r="L233" s="42">
        <f>L234+L235+L236</f>
        <v>2137999</v>
      </c>
      <c r="M233" s="42">
        <f>M234+M235+M236</f>
        <v>2137999</v>
      </c>
      <c r="N233" s="42">
        <f>N234+N235+N236</f>
        <v>2137999</v>
      </c>
      <c r="O233" s="42">
        <f t="shared" si="64"/>
        <v>0</v>
      </c>
      <c r="P233" s="109"/>
    </row>
    <row r="234" spans="2:16" s="143" customFormat="1" x14ac:dyDescent="0.25">
      <c r="B234" s="142" t="s">
        <v>524</v>
      </c>
      <c r="C234" s="144" t="s">
        <v>525</v>
      </c>
      <c r="D234" s="145" t="s">
        <v>526</v>
      </c>
      <c r="E234" s="25">
        <v>4009</v>
      </c>
      <c r="F234" s="139">
        <f>44403+33476</f>
        <v>77879</v>
      </c>
      <c r="G234" s="139"/>
      <c r="H234" s="139"/>
      <c r="I234" s="139"/>
      <c r="J234" s="139"/>
      <c r="K234" s="139">
        <f>[4]PIVOT_2023!H280</f>
        <v>543319</v>
      </c>
      <c r="L234" s="25">
        <f>E234+F234+G234+H234+I234+J234+K234</f>
        <v>625207</v>
      </c>
      <c r="M234" s="25">
        <v>625207</v>
      </c>
      <c r="N234" s="25">
        <f>ROUND(M234,0)</f>
        <v>625207</v>
      </c>
      <c r="O234" s="139">
        <f t="shared" si="64"/>
        <v>0</v>
      </c>
      <c r="P234" s="26"/>
    </row>
    <row r="235" spans="2:16" s="143" customFormat="1" ht="16.2" customHeight="1" x14ac:dyDescent="0.25">
      <c r="B235" s="142" t="s">
        <v>527</v>
      </c>
      <c r="C235" s="144" t="s">
        <v>528</v>
      </c>
      <c r="D235" s="145" t="s">
        <v>529</v>
      </c>
      <c r="E235" s="139"/>
      <c r="F235" s="139"/>
      <c r="G235" s="139"/>
      <c r="H235" s="139"/>
      <c r="I235" s="139"/>
      <c r="J235" s="139"/>
      <c r="K235" s="139">
        <f>[4]PIVOT_2023!H283</f>
        <v>135000</v>
      </c>
      <c r="L235" s="25">
        <f>E235+F235+G235+H235+I235+J235+K235</f>
        <v>135000</v>
      </c>
      <c r="M235" s="25">
        <v>135000</v>
      </c>
      <c r="N235" s="25">
        <f>ROUND(M235,0)</f>
        <v>135000</v>
      </c>
      <c r="O235" s="139">
        <f t="shared" si="64"/>
        <v>0</v>
      </c>
      <c r="P235" s="26"/>
    </row>
    <row r="236" spans="2:16" x14ac:dyDescent="0.25">
      <c r="B236" s="50" t="s">
        <v>527</v>
      </c>
      <c r="C236" s="112" t="s">
        <v>530</v>
      </c>
      <c r="D236" s="88" t="s">
        <v>531</v>
      </c>
      <c r="E236" s="139"/>
      <c r="F236" s="139"/>
      <c r="G236" s="139"/>
      <c r="H236" s="139"/>
      <c r="I236" s="139"/>
      <c r="J236" s="139"/>
      <c r="K236" s="139">
        <f>[4]PIVOT_2023!H284</f>
        <v>1377792</v>
      </c>
      <c r="L236" s="25">
        <f>E236+F236+G236+H236+I236+J236+K236</f>
        <v>1377792</v>
      </c>
      <c r="M236" s="25">
        <v>1377792</v>
      </c>
      <c r="N236" s="25">
        <f>ROUND(M236,0)</f>
        <v>1377792</v>
      </c>
      <c r="O236" s="139">
        <f t="shared" si="64"/>
        <v>0</v>
      </c>
      <c r="P236" s="26"/>
    </row>
    <row r="237" spans="2:16" s="101" customFormat="1" ht="15.75" customHeight="1" x14ac:dyDescent="0.25">
      <c r="C237" s="141" t="s">
        <v>532</v>
      </c>
      <c r="D237" s="114" t="s">
        <v>533</v>
      </c>
      <c r="E237" s="115">
        <v>85092</v>
      </c>
      <c r="F237" s="115">
        <f t="shared" ref="F237:N237" si="84">F238+F239+F240+F241+F242+F243+F244</f>
        <v>966547</v>
      </c>
      <c r="G237" s="115">
        <f t="shared" si="84"/>
        <v>2464</v>
      </c>
      <c r="H237" s="115">
        <f t="shared" si="84"/>
        <v>0</v>
      </c>
      <c r="I237" s="115">
        <f t="shared" si="84"/>
        <v>241081</v>
      </c>
      <c r="J237" s="115">
        <f t="shared" si="84"/>
        <v>0</v>
      </c>
      <c r="K237" s="115">
        <f t="shared" si="84"/>
        <v>682154.59305699996</v>
      </c>
      <c r="L237" s="115">
        <f t="shared" si="84"/>
        <v>1977338.5930570001</v>
      </c>
      <c r="M237" s="115">
        <f t="shared" si="84"/>
        <v>1977338.5930570001</v>
      </c>
      <c r="N237" s="115">
        <f t="shared" si="84"/>
        <v>1974553</v>
      </c>
      <c r="O237" s="115">
        <f t="shared" si="64"/>
        <v>-2785.5930570000783</v>
      </c>
      <c r="P237" s="118"/>
    </row>
    <row r="238" spans="2:16" ht="17.25" customHeight="1" x14ac:dyDescent="0.25">
      <c r="B238" s="50" t="s">
        <v>534</v>
      </c>
      <c r="C238" s="112" t="s">
        <v>535</v>
      </c>
      <c r="D238" s="88" t="s">
        <v>497</v>
      </c>
      <c r="E238" s="25">
        <v>15567</v>
      </c>
      <c r="F238" s="25">
        <f>56200+854400</f>
        <v>910600</v>
      </c>
      <c r="G238" s="25"/>
      <c r="H238" s="25"/>
      <c r="I238" s="25"/>
      <c r="J238" s="25"/>
      <c r="K238" s="25"/>
      <c r="L238" s="25">
        <f t="shared" ref="L238:L253" si="85">E238+F238+G238+H238+I238+J238+K238</f>
        <v>926167</v>
      </c>
      <c r="M238" s="25">
        <v>926167</v>
      </c>
      <c r="N238" s="25">
        <f>ROUND(M238,0)</f>
        <v>926167</v>
      </c>
      <c r="O238" s="25">
        <f t="shared" si="64"/>
        <v>0</v>
      </c>
      <c r="P238" s="38"/>
    </row>
    <row r="239" spans="2:16" x14ac:dyDescent="0.25">
      <c r="B239" s="1" t="s">
        <v>534</v>
      </c>
      <c r="C239" s="112" t="s">
        <v>536</v>
      </c>
      <c r="D239" s="88" t="s">
        <v>537</v>
      </c>
      <c r="E239" s="25">
        <v>25376</v>
      </c>
      <c r="F239" s="25">
        <v>49493</v>
      </c>
      <c r="G239" s="25"/>
      <c r="H239" s="25"/>
      <c r="I239" s="25"/>
      <c r="J239" s="25"/>
      <c r="K239" s="25"/>
      <c r="L239" s="25">
        <f t="shared" si="85"/>
        <v>74869</v>
      </c>
      <c r="M239" s="25">
        <v>74869</v>
      </c>
      <c r="N239" s="25">
        <f>ROUND(M239,0)</f>
        <v>74869</v>
      </c>
      <c r="O239" s="25">
        <f t="shared" si="64"/>
        <v>0</v>
      </c>
      <c r="P239" s="38"/>
    </row>
    <row r="240" spans="2:16" ht="17.25" customHeight="1" x14ac:dyDescent="0.25">
      <c r="B240" s="50" t="s">
        <v>538</v>
      </c>
      <c r="C240" s="112" t="s">
        <v>539</v>
      </c>
      <c r="D240" s="88" t="s">
        <v>500</v>
      </c>
      <c r="E240" s="25"/>
      <c r="F240" s="25"/>
      <c r="G240" s="25"/>
      <c r="H240" s="25"/>
      <c r="I240" s="25"/>
      <c r="J240" s="25">
        <f>[4]Pivot_invest_2023!E77</f>
        <v>0</v>
      </c>
      <c r="K240" s="25">
        <f>[4]PIVOT_2023!H293-I241</f>
        <v>682154.59305699996</v>
      </c>
      <c r="L240" s="25">
        <f t="shared" si="85"/>
        <v>682154.59305699996</v>
      </c>
      <c r="M240" s="25">
        <v>682154.59305699996</v>
      </c>
      <c r="N240" s="25">
        <f t="shared" ref="N240:N245" si="86">ROUND(M240,0)</f>
        <v>682155</v>
      </c>
      <c r="O240" s="25">
        <f t="shared" si="64"/>
        <v>0.40694300003815442</v>
      </c>
      <c r="P240" s="38"/>
    </row>
    <row r="241" spans="2:16" ht="17.25" customHeight="1" x14ac:dyDescent="0.25">
      <c r="B241" s="50"/>
      <c r="C241" s="112" t="s">
        <v>540</v>
      </c>
      <c r="D241" s="88" t="s">
        <v>514</v>
      </c>
      <c r="E241" s="25"/>
      <c r="F241" s="25"/>
      <c r="G241" s="25"/>
      <c r="H241" s="25"/>
      <c r="I241" s="53">
        <f>[4]PIVOT_2023!H296</f>
        <v>241081</v>
      </c>
      <c r="J241" s="25"/>
      <c r="K241" s="25"/>
      <c r="L241" s="25">
        <f t="shared" si="85"/>
        <v>241081</v>
      </c>
      <c r="M241" s="25">
        <v>241081</v>
      </c>
      <c r="N241" s="25">
        <f t="shared" si="86"/>
        <v>241081</v>
      </c>
      <c r="O241" s="25">
        <f t="shared" si="64"/>
        <v>0</v>
      </c>
      <c r="P241" s="38"/>
    </row>
    <row r="242" spans="2:16" ht="16.95" customHeight="1" x14ac:dyDescent="0.25">
      <c r="B242" s="50" t="s">
        <v>541</v>
      </c>
      <c r="C242" s="112" t="s">
        <v>542</v>
      </c>
      <c r="D242" s="88" t="s">
        <v>543</v>
      </c>
      <c r="E242" s="25">
        <v>0</v>
      </c>
      <c r="F242" s="25">
        <f>F58</f>
        <v>6454</v>
      </c>
      <c r="G242" s="25"/>
      <c r="H242" s="25"/>
      <c r="I242" s="25"/>
      <c r="J242" s="25">
        <f>[4]Pivot_invest_2023!E24-SUM(E242:I242)</f>
        <v>0</v>
      </c>
      <c r="K242" s="25"/>
      <c r="L242" s="25">
        <f t="shared" si="85"/>
        <v>6454</v>
      </c>
      <c r="M242" s="25">
        <v>6454</v>
      </c>
      <c r="N242" s="25">
        <f>ROUND(M242,0)-2786</f>
        <v>3668</v>
      </c>
      <c r="O242" s="25">
        <f t="shared" si="64"/>
        <v>-2786</v>
      </c>
      <c r="P242" s="26" t="s">
        <v>1020</v>
      </c>
    </row>
    <row r="243" spans="2:16" s="101" customFormat="1" ht="18.75" customHeight="1" x14ac:dyDescent="0.25">
      <c r="B243" s="50" t="s">
        <v>544</v>
      </c>
      <c r="C243" s="112" t="s">
        <v>545</v>
      </c>
      <c r="D243" s="88" t="s">
        <v>546</v>
      </c>
      <c r="E243" s="25">
        <v>44149</v>
      </c>
      <c r="F243" s="25"/>
      <c r="G243" s="25">
        <v>2464</v>
      </c>
      <c r="H243" s="25"/>
      <c r="I243" s="25"/>
      <c r="J243" s="25">
        <f>[4]Pivot_invest_2023!E26-SUM(E243:I243)</f>
        <v>0</v>
      </c>
      <c r="K243" s="25"/>
      <c r="L243" s="25">
        <f t="shared" si="85"/>
        <v>46613</v>
      </c>
      <c r="M243" s="25">
        <v>46613</v>
      </c>
      <c r="N243" s="25">
        <f t="shared" si="86"/>
        <v>46613</v>
      </c>
      <c r="O243" s="25">
        <f t="shared" si="64"/>
        <v>0</v>
      </c>
      <c r="P243" s="26"/>
    </row>
    <row r="244" spans="2:16" s="101" customFormat="1" ht="15" customHeight="1" x14ac:dyDescent="0.25">
      <c r="B244" s="50" t="s">
        <v>547</v>
      </c>
      <c r="C244" s="112" t="s">
        <v>548</v>
      </c>
      <c r="D244" s="88" t="s">
        <v>549</v>
      </c>
      <c r="E244" s="25"/>
      <c r="F244" s="25"/>
      <c r="G244" s="25"/>
      <c r="H244" s="25"/>
      <c r="I244" s="25"/>
      <c r="J244" s="25"/>
      <c r="K244" s="25"/>
      <c r="L244" s="25">
        <f t="shared" si="85"/>
        <v>0</v>
      </c>
      <c r="M244" s="25">
        <v>0</v>
      </c>
      <c r="N244" s="25">
        <f t="shared" si="86"/>
        <v>0</v>
      </c>
      <c r="O244" s="25">
        <f t="shared" si="64"/>
        <v>0</v>
      </c>
      <c r="P244" s="26"/>
    </row>
    <row r="245" spans="2:16" ht="15.75" customHeight="1" x14ac:dyDescent="0.25">
      <c r="B245" s="50" t="s">
        <v>550</v>
      </c>
      <c r="C245" s="141" t="s">
        <v>551</v>
      </c>
      <c r="D245" s="114" t="s">
        <v>296</v>
      </c>
      <c r="E245" s="115"/>
      <c r="F245" s="115"/>
      <c r="G245" s="115"/>
      <c r="H245" s="115">
        <f>H118</f>
        <v>582946</v>
      </c>
      <c r="I245" s="115"/>
      <c r="J245" s="115">
        <f>[4]Pivot_invest_2023!E34-SUM(E245:I245)</f>
        <v>253687.39</v>
      </c>
      <c r="K245" s="115"/>
      <c r="L245" s="115">
        <f t="shared" si="85"/>
        <v>836633.39</v>
      </c>
      <c r="M245" s="115">
        <v>836633.39</v>
      </c>
      <c r="N245" s="115">
        <f t="shared" si="86"/>
        <v>836633</v>
      </c>
      <c r="O245" s="115">
        <f t="shared" si="64"/>
        <v>-0.39000000001396984</v>
      </c>
      <c r="P245" s="54"/>
    </row>
    <row r="246" spans="2:16" ht="15.75" customHeight="1" x14ac:dyDescent="0.25">
      <c r="B246" s="50"/>
      <c r="C246" s="141" t="s">
        <v>552</v>
      </c>
      <c r="D246" s="114" t="s">
        <v>553</v>
      </c>
      <c r="E246" s="115">
        <v>374973</v>
      </c>
      <c r="F246" s="115">
        <f t="shared" ref="F246:L246" si="87">F247+F248+F249+F250+F251+F252+F253+F254</f>
        <v>3899747</v>
      </c>
      <c r="G246" s="115">
        <f t="shared" si="87"/>
        <v>0</v>
      </c>
      <c r="H246" s="115">
        <f t="shared" si="87"/>
        <v>390000</v>
      </c>
      <c r="I246" s="115">
        <f t="shared" si="87"/>
        <v>0</v>
      </c>
      <c r="J246" s="115">
        <f t="shared" si="87"/>
        <v>72120</v>
      </c>
      <c r="K246" s="115">
        <f t="shared" si="87"/>
        <v>2503606.2743386501</v>
      </c>
      <c r="L246" s="115">
        <f t="shared" si="87"/>
        <v>7240446.2743386505</v>
      </c>
      <c r="M246" s="115">
        <f>M247+M248+M249+M250+M251+M252+M253+M254</f>
        <v>7240446.2743386505</v>
      </c>
      <c r="N246" s="115">
        <f>N247+N248+N249+N250+N251+N252+N253+N254</f>
        <v>7249299</v>
      </c>
      <c r="O246" s="115">
        <f t="shared" si="64"/>
        <v>8852.7256613494828</v>
      </c>
      <c r="P246" s="54"/>
    </row>
    <row r="247" spans="2:16" ht="17.25" customHeight="1" x14ac:dyDescent="0.25">
      <c r="B247" s="50" t="s">
        <v>554</v>
      </c>
      <c r="C247" s="112" t="s">
        <v>555</v>
      </c>
      <c r="D247" s="88" t="s">
        <v>497</v>
      </c>
      <c r="E247" s="25">
        <v>108854</v>
      </c>
      <c r="F247" s="25">
        <f>216761+3425028</f>
        <v>3641789</v>
      </c>
      <c r="G247" s="25"/>
      <c r="H247" s="25"/>
      <c r="I247" s="25"/>
      <c r="J247" s="25"/>
      <c r="K247" s="25"/>
      <c r="L247" s="25">
        <f t="shared" si="85"/>
        <v>3750643</v>
      </c>
      <c r="M247" s="25">
        <v>3750643</v>
      </c>
      <c r="N247" s="25">
        <f>ROUND(M247,0)</f>
        <v>3750643</v>
      </c>
      <c r="O247" s="25">
        <f t="shared" si="64"/>
        <v>0</v>
      </c>
      <c r="P247" s="38"/>
    </row>
    <row r="248" spans="2:16" ht="72" customHeight="1" x14ac:dyDescent="0.25">
      <c r="B248" s="50" t="s">
        <v>556</v>
      </c>
      <c r="C248" s="112" t="s">
        <v>557</v>
      </c>
      <c r="D248" s="88" t="s">
        <v>500</v>
      </c>
      <c r="E248" s="25"/>
      <c r="F248" s="25"/>
      <c r="G248" s="25"/>
      <c r="H248" s="25"/>
      <c r="I248" s="25"/>
      <c r="J248" s="25">
        <f>[4]Pivot_invest_2023!E52+[4]Pivot_invest_2023!E74</f>
        <v>69120</v>
      </c>
      <c r="K248" s="25">
        <f>[4]PIVOT_2023!H304</f>
        <v>1356697.7494320502</v>
      </c>
      <c r="L248" s="25">
        <f t="shared" si="85"/>
        <v>1425817.7494320502</v>
      </c>
      <c r="M248" s="25">
        <v>1425817.7494320502</v>
      </c>
      <c r="N248" s="25">
        <f>ROUND(M248,0)+10864</f>
        <v>1436682</v>
      </c>
      <c r="O248" s="25">
        <f t="shared" si="64"/>
        <v>10864.250567949843</v>
      </c>
      <c r="P248" s="38" t="s">
        <v>558</v>
      </c>
    </row>
    <row r="249" spans="2:16" ht="17.399999999999999" customHeight="1" x14ac:dyDescent="0.25">
      <c r="B249" s="1" t="s">
        <v>559</v>
      </c>
      <c r="C249" s="112" t="s">
        <v>560</v>
      </c>
      <c r="D249" s="88" t="s">
        <v>546</v>
      </c>
      <c r="E249" s="25">
        <v>250373</v>
      </c>
      <c r="F249" s="25"/>
      <c r="G249" s="25"/>
      <c r="H249" s="25"/>
      <c r="I249" s="25"/>
      <c r="J249" s="25">
        <f>[4]Pivot_invest_2023!E23-SUM(E249:I249)</f>
        <v>0</v>
      </c>
      <c r="K249" s="25"/>
      <c r="L249" s="25">
        <f t="shared" si="85"/>
        <v>250373</v>
      </c>
      <c r="M249" s="25">
        <v>250373</v>
      </c>
      <c r="N249" s="25">
        <f t="shared" ref="N249:N253" si="88">ROUND(M249,0)</f>
        <v>250373</v>
      </c>
      <c r="O249" s="25">
        <f t="shared" si="64"/>
        <v>0</v>
      </c>
      <c r="P249" s="26"/>
    </row>
    <row r="250" spans="2:16" ht="16.2" customHeight="1" x14ac:dyDescent="0.25">
      <c r="B250" s="50" t="s">
        <v>561</v>
      </c>
      <c r="C250" s="112" t="s">
        <v>562</v>
      </c>
      <c r="D250" s="88" t="s">
        <v>543</v>
      </c>
      <c r="E250" s="25">
        <v>54</v>
      </c>
      <c r="F250" s="25">
        <f>F57</f>
        <v>16104</v>
      </c>
      <c r="G250" s="25"/>
      <c r="H250" s="25"/>
      <c r="I250" s="25"/>
      <c r="J250" s="25">
        <f>[4]Pivot_invest_2023!E21-SUM(E250:I250)</f>
        <v>0</v>
      </c>
      <c r="K250" s="25"/>
      <c r="L250" s="25">
        <f t="shared" si="85"/>
        <v>16158</v>
      </c>
      <c r="M250" s="25">
        <v>16158</v>
      </c>
      <c r="N250" s="25">
        <f>ROUND(M250,0)-2011</f>
        <v>14147</v>
      </c>
      <c r="O250" s="25">
        <f t="shared" si="64"/>
        <v>-2011</v>
      </c>
      <c r="P250" s="26" t="s">
        <v>1020</v>
      </c>
    </row>
    <row r="251" spans="2:16" ht="42" customHeight="1" x14ac:dyDescent="0.25">
      <c r="B251" s="50" t="s">
        <v>556</v>
      </c>
      <c r="C251" s="112" t="s">
        <v>563</v>
      </c>
      <c r="D251" s="88" t="s">
        <v>298</v>
      </c>
      <c r="E251" s="25"/>
      <c r="F251" s="25"/>
      <c r="G251" s="25"/>
      <c r="H251" s="25">
        <f>H119</f>
        <v>390000</v>
      </c>
      <c r="I251" s="25"/>
      <c r="J251" s="25">
        <f>[4]Pivot_invest_2023!E20-SUM(E251:I251)</f>
        <v>0</v>
      </c>
      <c r="K251" s="25"/>
      <c r="L251" s="25">
        <f t="shared" si="85"/>
        <v>390000</v>
      </c>
      <c r="M251" s="25">
        <v>390000</v>
      </c>
      <c r="N251" s="25">
        <f t="shared" si="88"/>
        <v>390000</v>
      </c>
      <c r="O251" s="25">
        <f t="shared" si="64"/>
        <v>0</v>
      </c>
      <c r="P251" s="38"/>
    </row>
    <row r="252" spans="2:16" ht="44.4" customHeight="1" x14ac:dyDescent="0.25">
      <c r="B252" s="50" t="s">
        <v>564</v>
      </c>
      <c r="C252" s="112" t="s">
        <v>565</v>
      </c>
      <c r="D252" s="88" t="s">
        <v>566</v>
      </c>
      <c r="E252" s="25"/>
      <c r="F252" s="25"/>
      <c r="G252" s="25"/>
      <c r="H252" s="25"/>
      <c r="I252" s="25"/>
      <c r="J252" s="25">
        <f>[4]Pivot_invest_2023!E76</f>
        <v>3000</v>
      </c>
      <c r="K252" s="25">
        <f>[4]PIVOT_2023!H286</f>
        <v>835367.24456400005</v>
      </c>
      <c r="L252" s="25">
        <f t="shared" si="85"/>
        <v>838367.24456400005</v>
      </c>
      <c r="M252" s="25">
        <v>838367.24456400005</v>
      </c>
      <c r="N252" s="25">
        <f t="shared" si="88"/>
        <v>838367</v>
      </c>
      <c r="O252" s="25">
        <f t="shared" si="64"/>
        <v>-0.24456400005146861</v>
      </c>
      <c r="P252" s="38" t="s">
        <v>567</v>
      </c>
    </row>
    <row r="253" spans="2:16" ht="15" customHeight="1" x14ac:dyDescent="0.25">
      <c r="B253" s="50" t="s">
        <v>554</v>
      </c>
      <c r="C253" s="112" t="s">
        <v>568</v>
      </c>
      <c r="D253" s="88" t="s">
        <v>569</v>
      </c>
      <c r="E253" s="25">
        <v>7451</v>
      </c>
      <c r="F253" s="25">
        <v>166307</v>
      </c>
      <c r="G253" s="25"/>
      <c r="H253" s="25"/>
      <c r="I253" s="25"/>
      <c r="J253" s="25"/>
      <c r="K253" s="25"/>
      <c r="L253" s="25">
        <f t="shared" si="85"/>
        <v>173758</v>
      </c>
      <c r="M253" s="25">
        <v>173758</v>
      </c>
      <c r="N253" s="25">
        <f t="shared" si="88"/>
        <v>173758</v>
      </c>
      <c r="O253" s="25">
        <f t="shared" si="64"/>
        <v>0</v>
      </c>
      <c r="P253" s="26"/>
    </row>
    <row r="254" spans="2:16" s="101" customFormat="1" ht="13.95" customHeight="1" x14ac:dyDescent="0.25">
      <c r="B254" s="50"/>
      <c r="C254" s="146" t="s">
        <v>570</v>
      </c>
      <c r="D254" s="147" t="s">
        <v>571</v>
      </c>
      <c r="E254" s="148">
        <v>8241</v>
      </c>
      <c r="F254" s="148">
        <f t="shared" ref="F254:O254" si="89">F255+F256</f>
        <v>75547</v>
      </c>
      <c r="G254" s="148">
        <f t="shared" si="89"/>
        <v>0</v>
      </c>
      <c r="H254" s="148">
        <f t="shared" si="89"/>
        <v>0</v>
      </c>
      <c r="I254" s="148">
        <f t="shared" si="89"/>
        <v>0</v>
      </c>
      <c r="J254" s="148">
        <f t="shared" si="89"/>
        <v>0</v>
      </c>
      <c r="K254" s="148">
        <f t="shared" si="89"/>
        <v>311541.28034260002</v>
      </c>
      <c r="L254" s="148">
        <f t="shared" si="89"/>
        <v>395329.28034260002</v>
      </c>
      <c r="M254" s="148">
        <f t="shared" si="89"/>
        <v>395329.28034260002</v>
      </c>
      <c r="N254" s="148">
        <f t="shared" si="89"/>
        <v>395329</v>
      </c>
      <c r="O254" s="148">
        <f t="shared" si="89"/>
        <v>-0.28034260001732036</v>
      </c>
      <c r="P254" s="148"/>
    </row>
    <row r="255" spans="2:16" ht="12" customHeight="1" x14ac:dyDescent="0.25">
      <c r="B255" s="50" t="s">
        <v>572</v>
      </c>
      <c r="C255" s="149" t="s">
        <v>573</v>
      </c>
      <c r="D255" s="88" t="s">
        <v>574</v>
      </c>
      <c r="E255" s="25">
        <v>8241</v>
      </c>
      <c r="F255" s="25">
        <f>75547</f>
        <v>75547</v>
      </c>
      <c r="G255" s="25"/>
      <c r="H255" s="25"/>
      <c r="I255" s="25"/>
      <c r="J255" s="25"/>
      <c r="K255" s="25"/>
      <c r="L255" s="25">
        <f>E255+F255+G255+H255+I255+J255+K255</f>
        <v>83788</v>
      </c>
      <c r="M255" s="25">
        <v>83788</v>
      </c>
      <c r="N255" s="25">
        <f>ROUND(M255,0)</f>
        <v>83788</v>
      </c>
      <c r="O255" s="25">
        <f t="shared" si="64"/>
        <v>0</v>
      </c>
      <c r="P255" s="38"/>
    </row>
    <row r="256" spans="2:16" s="101" customFormat="1" ht="12.6" customHeight="1" x14ac:dyDescent="0.25">
      <c r="B256" s="50" t="s">
        <v>575</v>
      </c>
      <c r="C256" s="149" t="s">
        <v>576</v>
      </c>
      <c r="D256" s="88" t="s">
        <v>577</v>
      </c>
      <c r="E256" s="25"/>
      <c r="F256" s="25"/>
      <c r="G256" s="25"/>
      <c r="H256" s="25"/>
      <c r="I256" s="25"/>
      <c r="J256" s="25"/>
      <c r="K256" s="25">
        <f>[4]PIVOT_2023!H273</f>
        <v>311541.28034260002</v>
      </c>
      <c r="L256" s="25">
        <f>E256+F256+G256+H256+I256+J256+K256</f>
        <v>311541.28034260002</v>
      </c>
      <c r="M256" s="25">
        <v>311541.28034260002</v>
      </c>
      <c r="N256" s="25">
        <f>ROUND(M256,0)</f>
        <v>311541</v>
      </c>
      <c r="O256" s="25">
        <f t="shared" si="64"/>
        <v>-0.28034260001732036</v>
      </c>
      <c r="P256" s="26"/>
    </row>
    <row r="257" spans="2:16" ht="18" customHeight="1" x14ac:dyDescent="0.25">
      <c r="C257" s="141" t="s">
        <v>578</v>
      </c>
      <c r="D257" s="114" t="s">
        <v>579</v>
      </c>
      <c r="E257" s="115">
        <v>0</v>
      </c>
      <c r="F257" s="115">
        <f t="shared" ref="F257:N257" si="90">F258+F259</f>
        <v>593640</v>
      </c>
      <c r="G257" s="115">
        <f t="shared" si="90"/>
        <v>0</v>
      </c>
      <c r="H257" s="115">
        <f t="shared" si="90"/>
        <v>0</v>
      </c>
      <c r="I257" s="115">
        <f t="shared" si="90"/>
        <v>0</v>
      </c>
      <c r="J257" s="115">
        <f t="shared" si="90"/>
        <v>6000</v>
      </c>
      <c r="K257" s="115">
        <f t="shared" si="90"/>
        <v>889452.98177700012</v>
      </c>
      <c r="L257" s="115">
        <f t="shared" si="90"/>
        <v>1489092.9817770002</v>
      </c>
      <c r="M257" s="115">
        <f t="shared" si="90"/>
        <v>1489092.9817770002</v>
      </c>
      <c r="N257" s="115">
        <f t="shared" si="90"/>
        <v>1541382</v>
      </c>
      <c r="O257" s="115">
        <f t="shared" si="64"/>
        <v>52289.018222999759</v>
      </c>
      <c r="P257" s="115"/>
    </row>
    <row r="258" spans="2:16" ht="13.5" customHeight="1" x14ac:dyDescent="0.25">
      <c r="C258" s="112" t="s">
        <v>580</v>
      </c>
      <c r="D258" s="88" t="s">
        <v>581</v>
      </c>
      <c r="E258" s="25">
        <v>0</v>
      </c>
      <c r="F258" s="138">
        <f>F46</f>
        <v>593640</v>
      </c>
      <c r="G258" s="25"/>
      <c r="H258" s="25"/>
      <c r="I258" s="25"/>
      <c r="J258" s="25"/>
      <c r="K258" s="25"/>
      <c r="L258" s="25">
        <f>E258+F258+G258+H258+I258+J258+K258</f>
        <v>593640</v>
      </c>
      <c r="M258" s="25">
        <v>593640</v>
      </c>
      <c r="N258" s="25">
        <f>ROUND(M258,0)+52289</f>
        <v>645929</v>
      </c>
      <c r="O258" s="25">
        <f t="shared" si="64"/>
        <v>52289</v>
      </c>
      <c r="P258" s="38" t="s">
        <v>1017</v>
      </c>
    </row>
    <row r="259" spans="2:16" ht="13.5" customHeight="1" x14ac:dyDescent="0.25">
      <c r="C259" s="112" t="s">
        <v>582</v>
      </c>
      <c r="D259" s="88" t="s">
        <v>500</v>
      </c>
      <c r="E259" s="25"/>
      <c r="F259" s="25"/>
      <c r="G259" s="25"/>
      <c r="H259" s="25"/>
      <c r="I259" s="25"/>
      <c r="J259" s="25">
        <f>[4]Pivot_invest_2023!E75</f>
        <v>6000</v>
      </c>
      <c r="K259" s="25">
        <f>[4]PIVOT_2023!H313</f>
        <v>889452.98177700012</v>
      </c>
      <c r="L259" s="25">
        <f>E259+F259+G259+H259+I259+J259+K259</f>
        <v>895452.98177700012</v>
      </c>
      <c r="M259" s="25">
        <v>895452.98177700012</v>
      </c>
      <c r="N259" s="25">
        <f>ROUND(M259,0)</f>
        <v>895453</v>
      </c>
      <c r="O259" s="25">
        <f t="shared" ref="O259:O277" si="91">N259-M259</f>
        <v>1.8222999875433743E-2</v>
      </c>
      <c r="P259" s="150"/>
    </row>
    <row r="260" spans="2:16" ht="16.2" customHeight="1" x14ac:dyDescent="0.25">
      <c r="C260" s="151" t="s">
        <v>583</v>
      </c>
      <c r="D260" s="114" t="s">
        <v>584</v>
      </c>
      <c r="E260" s="115">
        <v>20</v>
      </c>
      <c r="F260" s="115">
        <f t="shared" ref="F260:L260" si="92">F261+F262</f>
        <v>299288</v>
      </c>
      <c r="G260" s="115">
        <f t="shared" si="92"/>
        <v>0</v>
      </c>
      <c r="H260" s="115">
        <f t="shared" si="92"/>
        <v>0</v>
      </c>
      <c r="I260" s="115">
        <f>I261+I262</f>
        <v>0</v>
      </c>
      <c r="J260" s="115">
        <f t="shared" si="92"/>
        <v>0</v>
      </c>
      <c r="K260" s="115">
        <f t="shared" si="92"/>
        <v>343948.80554049998</v>
      </c>
      <c r="L260" s="115">
        <f t="shared" si="92"/>
        <v>643256.80554049998</v>
      </c>
      <c r="M260" s="115">
        <f>M261+M262</f>
        <v>643256.80554049998</v>
      </c>
      <c r="N260" s="115">
        <f>N261+N262</f>
        <v>643257</v>
      </c>
      <c r="O260" s="115">
        <f t="shared" si="91"/>
        <v>0.19445950002409518</v>
      </c>
      <c r="P260" s="118"/>
    </row>
    <row r="261" spans="2:16" ht="16.5" customHeight="1" x14ac:dyDescent="0.25">
      <c r="B261" s="50" t="s">
        <v>585</v>
      </c>
      <c r="C261" s="112" t="s">
        <v>586</v>
      </c>
      <c r="D261" s="88" t="s">
        <v>581</v>
      </c>
      <c r="E261" s="138">
        <v>20</v>
      </c>
      <c r="F261" s="138">
        <f>F47</f>
        <v>299288</v>
      </c>
      <c r="G261" s="25"/>
      <c r="H261" s="25"/>
      <c r="I261" s="25"/>
      <c r="J261" s="25"/>
      <c r="K261" s="25"/>
      <c r="L261" s="25">
        <f t="shared" ref="L261:L267" si="93">E261+F261+G261+H261+I261+J261+K261</f>
        <v>299308</v>
      </c>
      <c r="M261" s="25">
        <v>299308</v>
      </c>
      <c r="N261" s="25">
        <f>ROUND(M261,0)</f>
        <v>299308</v>
      </c>
      <c r="O261" s="25">
        <f t="shared" si="91"/>
        <v>0</v>
      </c>
      <c r="P261" s="26"/>
    </row>
    <row r="262" spans="2:16" ht="16.5" customHeight="1" x14ac:dyDescent="0.25">
      <c r="B262" s="50" t="s">
        <v>587</v>
      </c>
      <c r="C262" s="112" t="s">
        <v>588</v>
      </c>
      <c r="D262" s="88" t="s">
        <v>589</v>
      </c>
      <c r="E262" s="25"/>
      <c r="F262" s="25"/>
      <c r="G262" s="25"/>
      <c r="H262" s="25"/>
      <c r="I262" s="25"/>
      <c r="J262" s="25"/>
      <c r="K262" s="25">
        <f>[4]PIVOT_2023!H320</f>
        <v>343948.80554049998</v>
      </c>
      <c r="L262" s="25">
        <f t="shared" si="93"/>
        <v>343948.80554049998</v>
      </c>
      <c r="M262" s="25">
        <v>343948.80554049998</v>
      </c>
      <c r="N262" s="25">
        <f>ROUND(M262,0)</f>
        <v>343949</v>
      </c>
      <c r="O262" s="25">
        <f t="shared" si="91"/>
        <v>0.19445950002409518</v>
      </c>
      <c r="P262" s="38"/>
    </row>
    <row r="263" spans="2:16" ht="18.75" customHeight="1" x14ac:dyDescent="0.25">
      <c r="B263" s="50" t="s">
        <v>590</v>
      </c>
      <c r="C263" s="151" t="s">
        <v>591</v>
      </c>
      <c r="D263" s="114" t="s">
        <v>592</v>
      </c>
      <c r="E263" s="135">
        <v>606</v>
      </c>
      <c r="F263" s="135"/>
      <c r="G263" s="135"/>
      <c r="H263" s="135"/>
      <c r="I263" s="135"/>
      <c r="J263" s="135">
        <f>[4]Pivot_invest_2023!E51+[4]Pivot_invest_2023!E73-J264</f>
        <v>89935</v>
      </c>
      <c r="K263" s="42">
        <f>[4]PIVOT_2023!H326</f>
        <v>225484.5193245</v>
      </c>
      <c r="L263" s="42">
        <f t="shared" si="93"/>
        <v>316025.5193245</v>
      </c>
      <c r="M263" s="42">
        <v>316025.5193245</v>
      </c>
      <c r="N263" s="42">
        <f>ROUND(M263,0)</f>
        <v>316026</v>
      </c>
      <c r="O263" s="42">
        <f t="shared" si="91"/>
        <v>0.48067550000268966</v>
      </c>
      <c r="P263" s="54"/>
    </row>
    <row r="264" spans="2:16" ht="32.4" customHeight="1" x14ac:dyDescent="0.25">
      <c r="B264" s="50"/>
      <c r="C264" s="152" t="s">
        <v>593</v>
      </c>
      <c r="D264" s="114" t="s">
        <v>594</v>
      </c>
      <c r="E264" s="135"/>
      <c r="F264" s="135"/>
      <c r="G264" s="135"/>
      <c r="H264" s="135"/>
      <c r="I264" s="135"/>
      <c r="J264" s="135">
        <v>3000</v>
      </c>
      <c r="K264" s="42"/>
      <c r="L264" s="42">
        <f t="shared" si="93"/>
        <v>3000</v>
      </c>
      <c r="M264" s="42">
        <v>3000</v>
      </c>
      <c r="N264" s="42">
        <f t="shared" ref="N264:N265" si="94">ROUND(M264,0)</f>
        <v>3000</v>
      </c>
      <c r="O264" s="42"/>
      <c r="P264" s="54"/>
    </row>
    <row r="265" spans="2:16" ht="28.95" customHeight="1" x14ac:dyDescent="0.25">
      <c r="B265" s="50" t="s">
        <v>595</v>
      </c>
      <c r="C265" s="153" t="s">
        <v>596</v>
      </c>
      <c r="D265" s="114" t="s">
        <v>597</v>
      </c>
      <c r="E265" s="135">
        <v>16292</v>
      </c>
      <c r="F265" s="135"/>
      <c r="G265" s="135"/>
      <c r="H265" s="135"/>
      <c r="I265" s="135"/>
      <c r="J265" s="135">
        <f>[4]Pivot_invest_2023!E17-SUM(E265:I265)</f>
        <v>0</v>
      </c>
      <c r="K265" s="135"/>
      <c r="L265" s="42">
        <f t="shared" si="93"/>
        <v>16292</v>
      </c>
      <c r="M265" s="42">
        <v>16292</v>
      </c>
      <c r="N265" s="42">
        <f t="shared" si="94"/>
        <v>16292</v>
      </c>
      <c r="O265" s="42">
        <f t="shared" si="91"/>
        <v>0</v>
      </c>
      <c r="P265" s="54"/>
    </row>
    <row r="266" spans="2:16" ht="27" customHeight="1" x14ac:dyDescent="0.25">
      <c r="B266" s="50" t="s">
        <v>598</v>
      </c>
      <c r="C266" s="153" t="s">
        <v>599</v>
      </c>
      <c r="D266" s="114" t="s">
        <v>207</v>
      </c>
      <c r="E266" s="135">
        <v>1049</v>
      </c>
      <c r="F266" s="135"/>
      <c r="G266" s="135"/>
      <c r="H266" s="135"/>
      <c r="I266" s="135"/>
      <c r="J266" s="135">
        <f>[4]Pivot_invest_2023!E18-SUM(E266:I266)</f>
        <v>0</v>
      </c>
      <c r="K266" s="135"/>
      <c r="L266" s="42">
        <f t="shared" si="93"/>
        <v>1049</v>
      </c>
      <c r="M266" s="42">
        <v>1049</v>
      </c>
      <c r="N266" s="42">
        <f>ROUND(M266,0)</f>
        <v>1049</v>
      </c>
      <c r="O266" s="42">
        <f t="shared" si="91"/>
        <v>0</v>
      </c>
      <c r="P266" s="54"/>
    </row>
    <row r="267" spans="2:16" ht="57.6" customHeight="1" x14ac:dyDescent="0.25">
      <c r="B267" s="50" t="s">
        <v>600</v>
      </c>
      <c r="C267" s="153" t="s">
        <v>601</v>
      </c>
      <c r="D267" s="114" t="s">
        <v>602</v>
      </c>
      <c r="E267" s="135">
        <v>6300</v>
      </c>
      <c r="F267" s="135"/>
      <c r="G267" s="135"/>
      <c r="H267" s="135"/>
      <c r="I267" s="135"/>
      <c r="J267" s="135">
        <f>[4]Pivot_invest_2023!E19-SUM(E267:I267)</f>
        <v>700</v>
      </c>
      <c r="K267" s="135"/>
      <c r="L267" s="42">
        <f t="shared" si="93"/>
        <v>7000</v>
      </c>
      <c r="M267" s="42">
        <v>7000</v>
      </c>
      <c r="N267" s="42">
        <f>ROUND(M267,0)</f>
        <v>7000</v>
      </c>
      <c r="O267" s="42">
        <f t="shared" si="91"/>
        <v>0</v>
      </c>
      <c r="P267" s="54"/>
    </row>
    <row r="268" spans="2:16" ht="27" customHeight="1" x14ac:dyDescent="0.25">
      <c r="C268" s="141" t="s">
        <v>603</v>
      </c>
      <c r="D268" s="114" t="s">
        <v>195</v>
      </c>
      <c r="E268" s="135">
        <v>24529</v>
      </c>
      <c r="F268" s="135">
        <f t="shared" ref="F268:L268" si="95">F269+F270</f>
        <v>0</v>
      </c>
      <c r="G268" s="135">
        <f t="shared" si="95"/>
        <v>81714</v>
      </c>
      <c r="H268" s="135">
        <f t="shared" si="95"/>
        <v>0</v>
      </c>
      <c r="I268" s="135">
        <f>I269+I270</f>
        <v>0</v>
      </c>
      <c r="J268" s="135">
        <f t="shared" si="95"/>
        <v>0</v>
      </c>
      <c r="K268" s="135">
        <f t="shared" si="95"/>
        <v>0</v>
      </c>
      <c r="L268" s="135">
        <f t="shared" si="95"/>
        <v>106243</v>
      </c>
      <c r="M268" s="135">
        <f>M269+M270</f>
        <v>106243</v>
      </c>
      <c r="N268" s="135">
        <f>N269+N270</f>
        <v>106243</v>
      </c>
      <c r="O268" s="42">
        <f t="shared" si="91"/>
        <v>0</v>
      </c>
      <c r="P268" s="54"/>
    </row>
    <row r="269" spans="2:16" ht="14.4" customHeight="1" x14ac:dyDescent="0.25">
      <c r="B269" s="50" t="s">
        <v>604</v>
      </c>
      <c r="C269" s="112" t="s">
        <v>605</v>
      </c>
      <c r="D269" s="88" t="s">
        <v>606</v>
      </c>
      <c r="E269" s="25">
        <v>24529</v>
      </c>
      <c r="F269" s="25"/>
      <c r="G269" s="25">
        <f>70943-E269</f>
        <v>46414</v>
      </c>
      <c r="H269" s="25"/>
      <c r="I269" s="25"/>
      <c r="J269" s="25">
        <f>[4]Pivot_invest_2023!E22-SUM(E269:I269)</f>
        <v>0</v>
      </c>
      <c r="K269" s="25"/>
      <c r="L269" s="25">
        <f>E269+F269+G269+H269+I269+J269+K269</f>
        <v>70943</v>
      </c>
      <c r="M269" s="25">
        <v>70943</v>
      </c>
      <c r="N269" s="25">
        <f>ROUND(M269,0)</f>
        <v>70943</v>
      </c>
      <c r="O269" s="25">
        <f t="shared" si="91"/>
        <v>0</v>
      </c>
      <c r="P269" s="38"/>
    </row>
    <row r="270" spans="2:16" s="101" customFormat="1" ht="15" customHeight="1" x14ac:dyDescent="0.25">
      <c r="B270" s="50" t="s">
        <v>607</v>
      </c>
      <c r="C270" s="112" t="s">
        <v>608</v>
      </c>
      <c r="D270" s="88" t="s">
        <v>609</v>
      </c>
      <c r="E270" s="25"/>
      <c r="F270" s="25"/>
      <c r="G270" s="25">
        <f>35300-E270</f>
        <v>35300</v>
      </c>
      <c r="H270" s="25"/>
      <c r="I270" s="25"/>
      <c r="J270" s="25">
        <f>[4]Pivot_invest_2023!E25-SUM(E270:I270)</f>
        <v>0</v>
      </c>
      <c r="K270" s="25"/>
      <c r="L270" s="25">
        <f>E270+F270+G270+H270+I270+J270+K270</f>
        <v>35300</v>
      </c>
      <c r="M270" s="25">
        <v>35300</v>
      </c>
      <c r="N270" s="25">
        <f>ROUND(M270,0)</f>
        <v>35300</v>
      </c>
      <c r="O270" s="25">
        <f t="shared" si="91"/>
        <v>0</v>
      </c>
      <c r="P270" s="38"/>
    </row>
    <row r="271" spans="2:16" s="101" customFormat="1" ht="17.399999999999999" customHeight="1" outlineLevel="1" x14ac:dyDescent="0.25">
      <c r="C271" s="110" t="s">
        <v>610</v>
      </c>
      <c r="D271" s="111" t="s">
        <v>611</v>
      </c>
      <c r="E271" s="29">
        <v>0</v>
      </c>
      <c r="F271" s="29">
        <f t="shared" ref="F271:L271" si="96">SUM(F272:F273)</f>
        <v>0</v>
      </c>
      <c r="G271" s="29">
        <f t="shared" si="96"/>
        <v>0</v>
      </c>
      <c r="H271" s="29">
        <f t="shared" si="96"/>
        <v>0</v>
      </c>
      <c r="I271" s="29">
        <f>SUM(I272:I273)</f>
        <v>0</v>
      </c>
      <c r="J271" s="29">
        <f t="shared" si="96"/>
        <v>0</v>
      </c>
      <c r="K271" s="29">
        <f t="shared" si="96"/>
        <v>0</v>
      </c>
      <c r="L271" s="29">
        <f t="shared" si="96"/>
        <v>0</v>
      </c>
      <c r="M271" s="29">
        <f>SUM(M272:M273)</f>
        <v>0</v>
      </c>
      <c r="N271" s="29">
        <f>SUM(N272:N273)</f>
        <v>0</v>
      </c>
      <c r="O271" s="29">
        <f t="shared" si="91"/>
        <v>0</v>
      </c>
      <c r="P271" s="30"/>
    </row>
    <row r="272" spans="2:16" ht="17.25" customHeight="1" outlineLevel="1" x14ac:dyDescent="0.25">
      <c r="C272" s="107" t="s">
        <v>121</v>
      </c>
      <c r="D272" s="108" t="s">
        <v>612</v>
      </c>
      <c r="E272" s="42"/>
      <c r="F272" s="42"/>
      <c r="G272" s="42"/>
      <c r="H272" s="42"/>
      <c r="I272" s="42"/>
      <c r="J272" s="115"/>
      <c r="K272" s="42"/>
      <c r="L272" s="42">
        <f>E272+F272+G272+H272+I272+J272+K272</f>
        <v>0</v>
      </c>
      <c r="M272" s="42"/>
      <c r="N272" s="42"/>
      <c r="O272" s="42">
        <f t="shared" si="91"/>
        <v>0</v>
      </c>
      <c r="P272" s="54"/>
    </row>
    <row r="273" spans="3:16" ht="14.4" outlineLevel="1" thickBot="1" x14ac:dyDescent="0.3">
      <c r="C273" s="107" t="s">
        <v>176</v>
      </c>
      <c r="D273" s="108" t="s">
        <v>613</v>
      </c>
      <c r="E273" s="42"/>
      <c r="F273" s="42"/>
      <c r="G273" s="42"/>
      <c r="H273" s="42"/>
      <c r="I273" s="42"/>
      <c r="J273" s="42"/>
      <c r="K273" s="42"/>
      <c r="L273" s="42">
        <f>E273+F273+G273+H273+I273+J273+K273</f>
        <v>0</v>
      </c>
      <c r="M273" s="42"/>
      <c r="N273" s="42"/>
      <c r="O273" s="42">
        <f t="shared" si="91"/>
        <v>0</v>
      </c>
      <c r="P273" s="54"/>
    </row>
    <row r="274" spans="3:16" s="101" customFormat="1" ht="30" customHeight="1" thickBot="1" x14ac:dyDescent="0.3">
      <c r="C274" s="154"/>
      <c r="D274" s="155" t="s">
        <v>614</v>
      </c>
      <c r="E274" s="156">
        <v>1443112.69</v>
      </c>
      <c r="F274" s="156">
        <f t="shared" ref="F274:M274" si="97">F131+F141+F143+F144+F149+F151+F185+F198+F217+F271</f>
        <v>7953316</v>
      </c>
      <c r="G274" s="156">
        <f t="shared" si="97"/>
        <v>1556503.1</v>
      </c>
      <c r="H274" s="156">
        <f t="shared" si="97"/>
        <v>4267404.0022</v>
      </c>
      <c r="I274" s="156">
        <f t="shared" si="97"/>
        <v>8981289.8361329995</v>
      </c>
      <c r="J274" s="156">
        <f t="shared" si="97"/>
        <v>3291651.8800000004</v>
      </c>
      <c r="K274" s="156">
        <f t="shared" si="97"/>
        <v>27040255.615886025</v>
      </c>
      <c r="L274" s="156">
        <f t="shared" si="97"/>
        <v>54533533.12421903</v>
      </c>
      <c r="M274" s="156">
        <f t="shared" si="97"/>
        <v>54533532.808720239</v>
      </c>
      <c r="N274" s="156">
        <f>N131+N141+N143+N144+N149+N151+N185+N198+N217+N271+0.5</f>
        <v>54591888.5</v>
      </c>
      <c r="O274" s="156">
        <f t="shared" si="91"/>
        <v>58355.691279761493</v>
      </c>
      <c r="P274" s="157"/>
    </row>
    <row r="275" spans="3:16" ht="15.75" customHeight="1" thickBot="1" x14ac:dyDescent="0.3">
      <c r="C275" s="110" t="s">
        <v>229</v>
      </c>
      <c r="D275" s="111" t="s">
        <v>615</v>
      </c>
      <c r="E275" s="29">
        <v>7851</v>
      </c>
      <c r="F275" s="29"/>
      <c r="G275" s="29">
        <f>G76</f>
        <v>104321.39</v>
      </c>
      <c r="H275" s="29"/>
      <c r="I275" s="29"/>
      <c r="J275" s="29">
        <f>[4]Pivot_invest_2023!E35-SUM(E275:H275)</f>
        <v>-5.9999999997671694E-2</v>
      </c>
      <c r="K275" s="29">
        <f>'[4]4.piel_Saistibas'!X202-SUM(E275:J275)</f>
        <v>3489717.8079218101</v>
      </c>
      <c r="L275" s="29">
        <f>E275+F275+G275+H275+J275+K275</f>
        <v>3601890.1379218102</v>
      </c>
      <c r="M275" s="29">
        <v>3601890.1379218102</v>
      </c>
      <c r="N275" s="29">
        <f>ROUND(M275,0)</f>
        <v>3601890</v>
      </c>
      <c r="O275" s="29">
        <f t="shared" si="91"/>
        <v>-0.13792181015014648</v>
      </c>
      <c r="P275" s="36"/>
    </row>
    <row r="276" spans="3:16" ht="14.4" thickBot="1" x14ac:dyDescent="0.3">
      <c r="C276" s="154"/>
      <c r="D276" s="155" t="s">
        <v>616</v>
      </c>
      <c r="E276" s="158">
        <v>1450963.69</v>
      </c>
      <c r="F276" s="158">
        <f t="shared" ref="F276:L276" si="98">F274+F275</f>
        <v>7953316</v>
      </c>
      <c r="G276" s="158">
        <f t="shared" si="98"/>
        <v>1660824.49</v>
      </c>
      <c r="H276" s="158">
        <f t="shared" si="98"/>
        <v>4267404.0022</v>
      </c>
      <c r="I276" s="158">
        <f>I274+I275</f>
        <v>8981289.8361329995</v>
      </c>
      <c r="J276" s="158">
        <f t="shared" si="98"/>
        <v>3291651.8200000003</v>
      </c>
      <c r="K276" s="158">
        <f t="shared" si="98"/>
        <v>30529973.423807837</v>
      </c>
      <c r="L276" s="158">
        <f t="shared" si="98"/>
        <v>58135423.26214084</v>
      </c>
      <c r="M276" s="158">
        <f>M274+M275</f>
        <v>58135422.946642049</v>
      </c>
      <c r="N276" s="158">
        <f>N274+N275</f>
        <v>58193778.5</v>
      </c>
      <c r="O276" s="158">
        <f t="shared" si="91"/>
        <v>58355.553357951343</v>
      </c>
      <c r="P276" s="159"/>
    </row>
    <row r="277" spans="3:16" ht="15" thickTop="1" thickBot="1" x14ac:dyDescent="0.3">
      <c r="C277" s="160" t="s">
        <v>617</v>
      </c>
      <c r="D277" s="161" t="s">
        <v>618</v>
      </c>
      <c r="E277" s="162">
        <v>0.25</v>
      </c>
      <c r="F277" s="162">
        <f t="shared" ref="F277:M277" si="99">F125-F276</f>
        <v>0</v>
      </c>
      <c r="G277" s="162">
        <f t="shared" si="99"/>
        <v>0</v>
      </c>
      <c r="H277" s="162">
        <f t="shared" si="99"/>
        <v>0</v>
      </c>
      <c r="I277" s="162">
        <f t="shared" si="99"/>
        <v>-5167738.8361329995</v>
      </c>
      <c r="J277" s="162">
        <f t="shared" si="99"/>
        <v>-3291651.8200000003</v>
      </c>
      <c r="K277" s="162">
        <f t="shared" si="99"/>
        <v>2195706.5761921629</v>
      </c>
      <c r="L277" s="162">
        <f t="shared" si="99"/>
        <v>26873.030059166253</v>
      </c>
      <c r="M277" s="162">
        <f t="shared" si="99"/>
        <v>26873.285557955503</v>
      </c>
      <c r="N277" s="162">
        <f>N125-N276-0.2</f>
        <v>26873.3</v>
      </c>
      <c r="O277" s="162">
        <f t="shared" si="91"/>
        <v>1.4442044495808659E-2</v>
      </c>
      <c r="P277" s="163"/>
    </row>
  </sheetData>
  <mergeCells count="4">
    <mergeCell ref="C2:D2"/>
    <mergeCell ref="C3:D3"/>
    <mergeCell ref="C128:D128"/>
    <mergeCell ref="C129:D129"/>
  </mergeCells>
  <conditionalFormatting sqref="E277">
    <cfRule type="cellIs" dxfId="8" priority="10" operator="lessThan">
      <formula>0</formula>
    </cfRule>
  </conditionalFormatting>
  <conditionalFormatting sqref="F277">
    <cfRule type="cellIs" dxfId="7" priority="9" operator="lessThan">
      <formula>0</formula>
    </cfRule>
  </conditionalFormatting>
  <conditionalFormatting sqref="O277">
    <cfRule type="cellIs" dxfId="6" priority="8" operator="lessThan">
      <formula>0</formula>
    </cfRule>
  </conditionalFormatting>
  <conditionalFormatting sqref="L277">
    <cfRule type="cellIs" dxfId="5" priority="7" operator="lessThan">
      <formula>0</formula>
    </cfRule>
  </conditionalFormatting>
  <conditionalFormatting sqref="G277">
    <cfRule type="cellIs" dxfId="4" priority="6" operator="lessThan">
      <formula>0</formula>
    </cfRule>
  </conditionalFormatting>
  <conditionalFormatting sqref="H277">
    <cfRule type="cellIs" dxfId="3" priority="5" operator="lessThan">
      <formula>0</formula>
    </cfRule>
  </conditionalFormatting>
  <conditionalFormatting sqref="I277:K277">
    <cfRule type="cellIs" dxfId="2" priority="4" operator="lessThan">
      <formula>0</formula>
    </cfRule>
  </conditionalFormatting>
  <conditionalFormatting sqref="M277">
    <cfRule type="cellIs" dxfId="1" priority="3" operator="lessThan">
      <formula>0</formula>
    </cfRule>
  </conditionalFormatting>
  <conditionalFormatting sqref="N277">
    <cfRule type="cellIs" dxfId="0" priority="1" operator="lessThan">
      <formula>0</formula>
    </cfRule>
  </conditionalFormatting>
  <pageMargins left="0.47244094488188981" right="0.47244094488188981" top="0.47244094488188981" bottom="0.47244094488188981" header="0.27559055118110237" footer="0.27559055118110237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6EFDE-C65F-48F5-A940-63B33C83EA0C}">
  <sheetPr>
    <tabColor rgb="FF00B050"/>
    <pageSetUpPr fitToPage="1"/>
  </sheetPr>
  <dimension ref="A1:DP248"/>
  <sheetViews>
    <sheetView zoomScale="122" zoomScaleNormal="122" workbookViewId="0">
      <pane ySplit="9" topLeftCell="A138" activePane="bottomLeft" state="frozen"/>
      <selection activeCell="A4" sqref="A4"/>
      <selection pane="bottomLeft" activeCell="J1" sqref="J1:R1048576"/>
    </sheetView>
  </sheetViews>
  <sheetFormatPr defaultColWidth="9.125" defaultRowHeight="13.2" outlineLevelRow="1" outlineLevelCol="2" x14ac:dyDescent="0.25"/>
  <cols>
    <col min="1" max="1" width="5.375" style="164" customWidth="1"/>
    <col min="2" max="2" width="26.75" style="165" customWidth="1"/>
    <col min="3" max="3" width="9" style="165" customWidth="1" outlineLevel="1"/>
    <col min="4" max="4" width="9.375" style="165" customWidth="1" outlineLevel="1" collapsed="1"/>
    <col min="5" max="5" width="0.25" style="179" customWidth="1" outlineLevel="1"/>
    <col min="6" max="6" width="9.375" style="166" customWidth="1"/>
    <col min="7" max="7" width="9.375" style="165" customWidth="1"/>
    <col min="8" max="8" width="11" style="180" hidden="1" customWidth="1" outlineLevel="1"/>
    <col min="9" max="9" width="11" style="181" customWidth="1" collapsed="1"/>
    <col min="10" max="10" width="9.625" style="180" hidden="1" customWidth="1" outlineLevel="2"/>
    <col min="11" max="11" width="11.25" style="181" hidden="1" customWidth="1" outlineLevel="2"/>
    <col min="12" max="12" width="10.625" style="165" hidden="1" customWidth="1" outlineLevel="1"/>
    <col min="13" max="13" width="9.375" style="165" hidden="1" customWidth="1" outlineLevel="1"/>
    <col min="14" max="14" width="9.375" style="165" hidden="1" customWidth="1" outlineLevel="2"/>
    <col min="15" max="15" width="9.375" style="182" hidden="1" customWidth="1" outlineLevel="2"/>
    <col min="16" max="16" width="9.375" style="183" hidden="1" customWidth="1" outlineLevel="2"/>
    <col min="17" max="18" width="11.375" style="165" hidden="1" customWidth="1" outlineLevel="2"/>
    <col min="19" max="19" width="6.25" style="165" customWidth="1" collapsed="1"/>
    <col min="20" max="20" width="11.75" style="184" hidden="1" customWidth="1" outlineLevel="1"/>
    <col min="21" max="23" width="11.75" style="185" hidden="1" customWidth="1" outlineLevel="1"/>
    <col min="24" max="24" width="11.75" style="185" customWidth="1" collapsed="1"/>
    <col min="25" max="26" width="11.75" style="185" customWidth="1"/>
    <col min="27" max="32" width="11" style="185" customWidth="1"/>
    <col min="33" max="34" width="9.125" style="177"/>
    <col min="35" max="35" width="14.375" style="165" customWidth="1"/>
    <col min="36" max="16384" width="9.125" style="165"/>
  </cols>
  <sheetData>
    <row r="1" spans="1:42" ht="17.25" hidden="1" customHeight="1" outlineLevel="1" x14ac:dyDescent="0.3">
      <c r="D1" s="166"/>
      <c r="E1" s="167"/>
      <c r="F1" s="165"/>
      <c r="G1" s="168"/>
      <c r="H1" s="169"/>
      <c r="I1" s="168"/>
      <c r="J1" s="170"/>
      <c r="K1" s="168"/>
      <c r="N1" s="171"/>
      <c r="O1" s="172"/>
      <c r="P1" s="173"/>
      <c r="T1" s="174"/>
      <c r="U1" s="165"/>
      <c r="V1" s="165"/>
      <c r="W1" s="165"/>
      <c r="X1" s="165"/>
      <c r="Y1" s="165"/>
      <c r="Z1" s="165"/>
      <c r="AA1" s="175"/>
      <c r="AB1" s="175"/>
      <c r="AC1" s="175"/>
      <c r="AD1" s="175"/>
      <c r="AE1" s="176"/>
      <c r="AF1" s="176" t="s">
        <v>619</v>
      </c>
    </row>
    <row r="2" spans="1:42" ht="17.25" hidden="1" customHeight="1" outlineLevel="1" x14ac:dyDescent="0.3">
      <c r="D2" s="166"/>
      <c r="E2" s="167"/>
      <c r="F2" s="165"/>
      <c r="G2" s="168"/>
      <c r="H2" s="169"/>
      <c r="I2" s="168"/>
      <c r="J2" s="170"/>
      <c r="K2" s="168"/>
      <c r="N2" s="171"/>
      <c r="O2" s="172"/>
      <c r="P2" s="173"/>
      <c r="T2" s="174"/>
      <c r="U2" s="165"/>
      <c r="V2" s="165"/>
      <c r="W2" s="165"/>
      <c r="X2" s="165"/>
      <c r="Y2" s="165"/>
      <c r="Z2" s="165"/>
      <c r="AA2" s="175"/>
      <c r="AB2" s="175"/>
      <c r="AC2" s="175"/>
      <c r="AD2" s="175"/>
      <c r="AE2" s="176"/>
      <c r="AF2" s="176" t="s">
        <v>620</v>
      </c>
    </row>
    <row r="3" spans="1:42" ht="17.25" hidden="1" customHeight="1" outlineLevel="1" x14ac:dyDescent="0.3">
      <c r="D3" s="166"/>
      <c r="E3" s="167"/>
      <c r="F3" s="165"/>
      <c r="G3" s="168"/>
      <c r="H3" s="169"/>
      <c r="I3" s="168"/>
      <c r="J3" s="170"/>
      <c r="K3" s="168"/>
      <c r="N3" s="171"/>
      <c r="O3" s="172"/>
      <c r="P3" s="173"/>
      <c r="T3" s="174"/>
      <c r="U3" s="165"/>
      <c r="V3" s="165"/>
      <c r="W3" s="165"/>
      <c r="X3" s="165"/>
      <c r="Y3" s="165"/>
      <c r="Z3" s="165"/>
      <c r="AA3" s="175"/>
      <c r="AB3" s="175"/>
      <c r="AC3" s="175"/>
      <c r="AD3" s="175"/>
      <c r="AE3" s="176"/>
      <c r="AF3" s="176" t="s">
        <v>621</v>
      </c>
    </row>
    <row r="4" spans="1:42" ht="17.399999999999999" collapsed="1" x14ac:dyDescent="0.3">
      <c r="B4" s="178" t="s">
        <v>622</v>
      </c>
    </row>
    <row r="5" spans="1:42" ht="14.4" x14ac:dyDescent="0.3">
      <c r="A5" s="186" t="s">
        <v>623</v>
      </c>
      <c r="B5" s="186"/>
      <c r="H5" s="187"/>
      <c r="I5" s="188"/>
      <c r="J5" s="187"/>
      <c r="K5" s="189"/>
      <c r="N5" s="189"/>
      <c r="O5" s="190"/>
      <c r="P5" s="190"/>
      <c r="S5" s="189"/>
      <c r="AE5" s="191"/>
    </row>
    <row r="6" spans="1:42" ht="14.4" x14ac:dyDescent="0.3">
      <c r="A6" s="186"/>
      <c r="H6" s="187"/>
      <c r="I6" s="188"/>
      <c r="J6" s="187"/>
      <c r="K6" s="189"/>
      <c r="N6" s="189"/>
      <c r="O6" s="190"/>
      <c r="P6" s="190"/>
      <c r="S6" s="189"/>
      <c r="AE6" s="191"/>
    </row>
    <row r="7" spans="1:42" ht="12.75" customHeight="1" x14ac:dyDescent="0.25">
      <c r="L7" s="192">
        <v>1.6580000000000001E-2</v>
      </c>
      <c r="M7" s="193">
        <v>2.5000000000000001E-3</v>
      </c>
      <c r="R7" s="194"/>
    </row>
    <row r="8" spans="1:42" ht="4.5" customHeight="1" thickBot="1" x14ac:dyDescent="0.3">
      <c r="H8" s="169"/>
      <c r="I8" s="168"/>
      <c r="J8" s="169"/>
      <c r="K8" s="168"/>
      <c r="L8" s="195"/>
      <c r="M8" s="196"/>
      <c r="O8" s="197"/>
      <c r="P8" s="172"/>
      <c r="R8" s="194"/>
    </row>
    <row r="9" spans="1:42" s="215" customFormat="1" ht="36.75" customHeight="1" thickBot="1" x14ac:dyDescent="0.3">
      <c r="A9" s="619" t="s">
        <v>624</v>
      </c>
      <c r="B9" s="620"/>
      <c r="C9" s="199" t="s">
        <v>625</v>
      </c>
      <c r="D9" s="200" t="s">
        <v>626</v>
      </c>
      <c r="E9" s="201" t="s">
        <v>627</v>
      </c>
      <c r="F9" s="200" t="s">
        <v>627</v>
      </c>
      <c r="G9" s="200" t="s">
        <v>628</v>
      </c>
      <c r="H9" s="202" t="s">
        <v>629</v>
      </c>
      <c r="I9" s="203" t="s">
        <v>630</v>
      </c>
      <c r="J9" s="202" t="s">
        <v>631</v>
      </c>
      <c r="K9" s="203" t="s">
        <v>632</v>
      </c>
      <c r="L9" s="198" t="s">
        <v>633</v>
      </c>
      <c r="M9" s="198" t="s">
        <v>634</v>
      </c>
      <c r="N9" s="198" t="s">
        <v>635</v>
      </c>
      <c r="O9" s="204" t="s">
        <v>636</v>
      </c>
      <c r="P9" s="205" t="s">
        <v>637</v>
      </c>
      <c r="Q9" s="206" t="s">
        <v>638</v>
      </c>
      <c r="R9" s="207" t="s">
        <v>639</v>
      </c>
      <c r="S9" s="208" t="s">
        <v>640</v>
      </c>
      <c r="T9" s="209" t="s">
        <v>641</v>
      </c>
      <c r="U9" s="210" t="s">
        <v>642</v>
      </c>
      <c r="V9" s="210" t="s">
        <v>643</v>
      </c>
      <c r="W9" s="210" t="s">
        <v>644</v>
      </c>
      <c r="X9" s="211" t="s">
        <v>645</v>
      </c>
      <c r="Y9" s="211" t="s">
        <v>646</v>
      </c>
      <c r="Z9" s="211" t="s">
        <v>647</v>
      </c>
      <c r="AA9" s="211" t="s">
        <v>648</v>
      </c>
      <c r="AB9" s="211" t="s">
        <v>649</v>
      </c>
      <c r="AC9" s="211" t="s">
        <v>650</v>
      </c>
      <c r="AD9" s="211" t="s">
        <v>651</v>
      </c>
      <c r="AE9" s="211" t="s">
        <v>652</v>
      </c>
      <c r="AF9" s="212" t="s">
        <v>653</v>
      </c>
      <c r="AG9" s="213"/>
      <c r="AH9" s="214"/>
    </row>
    <row r="10" spans="1:42" s="237" customFormat="1" x14ac:dyDescent="0.2">
      <c r="A10" s="216">
        <v>1</v>
      </c>
      <c r="B10" s="217" t="s">
        <v>654</v>
      </c>
      <c r="C10" s="218" t="s">
        <v>655</v>
      </c>
      <c r="D10" s="219" t="s">
        <v>656</v>
      </c>
      <c r="E10" s="220" t="s">
        <v>657</v>
      </c>
      <c r="F10" s="221" t="s">
        <v>658</v>
      </c>
      <c r="G10" s="221" t="s">
        <v>659</v>
      </c>
      <c r="H10" s="222">
        <f>(2100000)*0.702804-8</f>
        <v>1475880.4</v>
      </c>
      <c r="I10" s="223">
        <f>H10/0.702804</f>
        <v>2099988.6170255151</v>
      </c>
      <c r="J10" s="222">
        <f>H10</f>
        <v>1475880.4</v>
      </c>
      <c r="K10" s="224">
        <f>J10/0.702804</f>
        <v>2099988.6170255151</v>
      </c>
      <c r="L10" s="225">
        <f>0.101%+$L$7</f>
        <v>1.7590000000000001E-2</v>
      </c>
      <c r="M10" s="226">
        <f>M7</f>
        <v>2.5000000000000001E-3</v>
      </c>
      <c r="N10" s="227">
        <v>4</v>
      </c>
      <c r="O10" s="228"/>
      <c r="P10" s="229">
        <v>0</v>
      </c>
      <c r="Q10" s="230">
        <v>2082913</v>
      </c>
      <c r="R10" s="231">
        <v>2065839</v>
      </c>
      <c r="S10" s="232" t="s">
        <v>660</v>
      </c>
      <c r="T10" s="233">
        <v>1686634</v>
      </c>
      <c r="U10" s="234">
        <v>97944.803956721938</v>
      </c>
      <c r="V10" s="234">
        <v>97944.803956721938</v>
      </c>
      <c r="W10" s="234">
        <v>97944.8</v>
      </c>
      <c r="X10" s="234">
        <v>97945.803956721895</v>
      </c>
      <c r="Y10" s="234">
        <v>97946.803956721895</v>
      </c>
      <c r="Z10" s="234">
        <v>97946.803956721895</v>
      </c>
      <c r="AA10" s="234">
        <v>97946.803956721895</v>
      </c>
      <c r="AB10" s="234">
        <v>97946.803956721895</v>
      </c>
      <c r="AC10" s="234">
        <v>97946.803956721895</v>
      </c>
      <c r="AD10" s="234">
        <v>97946.803956721895</v>
      </c>
      <c r="AE10" s="234">
        <v>707172.96438950277</v>
      </c>
      <c r="AF10" s="235">
        <f t="shared" ref="AF10:AF41" si="0">SUM(X10:AE10)</f>
        <v>1392799.5920865559</v>
      </c>
      <c r="AG10" s="236"/>
      <c r="AH10" s="236"/>
    </row>
    <row r="11" spans="1:42" s="254" customFormat="1" ht="13.8" thickBot="1" x14ac:dyDescent="0.25">
      <c r="A11" s="238"/>
      <c r="B11" s="239" t="s">
        <v>661</v>
      </c>
      <c r="C11" s="240"/>
      <c r="D11" s="240"/>
      <c r="E11" s="241"/>
      <c r="F11" s="242"/>
      <c r="G11" s="243"/>
      <c r="H11" s="244"/>
      <c r="I11" s="245"/>
      <c r="J11" s="244"/>
      <c r="K11" s="246"/>
      <c r="L11" s="240"/>
      <c r="M11" s="240"/>
      <c r="N11" s="240"/>
      <c r="O11" s="247"/>
      <c r="P11" s="246"/>
      <c r="Q11" s="248"/>
      <c r="R11" s="249"/>
      <c r="S11" s="250" t="s">
        <v>662</v>
      </c>
      <c r="T11" s="251"/>
      <c r="U11" s="252">
        <f>((SUM(U10:$AE10))*($L10+$M10))</f>
        <v>33884.477059999997</v>
      </c>
      <c r="V11" s="252">
        <f>((SUM(V10:$AE10))*($L10+$M10))</f>
        <v>31916.765948509455</v>
      </c>
      <c r="W11" s="252">
        <f>((SUM(W10:$AE10))*($L10+$M10))</f>
        <v>29949.054837018914</v>
      </c>
      <c r="X11" s="252">
        <f>((SUM(X10:$AE10))*($L10+$M10))</f>
        <v>27981.343805018907</v>
      </c>
      <c r="Y11" s="252">
        <f>((SUM(Y10:$AE10))*($L10+$M10))</f>
        <v>26013.612603528367</v>
      </c>
      <c r="Z11" s="252">
        <f>((SUM(Z10:$AE10))*($L10+$M10))</f>
        <v>24045.861312037825</v>
      </c>
      <c r="AA11" s="252">
        <f>((SUM(AA10:$AE10))*($L10+$M10))</f>
        <v>22078.110020547283</v>
      </c>
      <c r="AB11" s="252">
        <f>((SUM(AB10:$AE10))*($L10+$M10))</f>
        <v>20110.358729056741</v>
      </c>
      <c r="AC11" s="252">
        <f>((SUM(AC10:$AE10))*($L10+$M10))</f>
        <v>18142.607437566196</v>
      </c>
      <c r="AD11" s="252">
        <f>((SUM(AD10:$AE10))*($L10+$M10))</f>
        <v>16174.856146075654</v>
      </c>
      <c r="AE11" s="252">
        <f>(((SUM(AE10:$AE10))*($L10+$M10)))*6.5</f>
        <v>92346.181554803217</v>
      </c>
      <c r="AF11" s="253">
        <f t="shared" si="0"/>
        <v>246892.93160863419</v>
      </c>
      <c r="AG11" s="236"/>
      <c r="AH11" s="236"/>
    </row>
    <row r="12" spans="1:42" s="237" customFormat="1" x14ac:dyDescent="0.2">
      <c r="A12" s="255">
        <v>2</v>
      </c>
      <c r="B12" s="256" t="s">
        <v>654</v>
      </c>
      <c r="C12" s="218" t="s">
        <v>663</v>
      </c>
      <c r="D12" s="257" t="s">
        <v>664</v>
      </c>
      <c r="E12" s="258">
        <v>40808</v>
      </c>
      <c r="F12" s="258">
        <v>40808</v>
      </c>
      <c r="G12" s="258" t="s">
        <v>665</v>
      </c>
      <c r="H12" s="259">
        <f>5383766.44*0.702804+874986</f>
        <v>4658718.5890977606</v>
      </c>
      <c r="I12" s="223">
        <f>H12/0.702804+1</f>
        <v>6628760.3540983843</v>
      </c>
      <c r="J12" s="259">
        <f>H12</f>
        <v>4658718.5890977606</v>
      </c>
      <c r="K12" s="224">
        <f>J12/0.702804</f>
        <v>6628759.3540983843</v>
      </c>
      <c r="L12" s="225">
        <f>0.101%+$L$7</f>
        <v>1.7590000000000001E-2</v>
      </c>
      <c r="M12" s="260">
        <f>M7</f>
        <v>2.5000000000000001E-3</v>
      </c>
      <c r="N12" s="261">
        <v>4</v>
      </c>
      <c r="O12" s="262"/>
      <c r="P12" s="263">
        <v>0</v>
      </c>
      <c r="Q12" s="230">
        <v>6355568</v>
      </c>
      <c r="R12" s="231">
        <v>6281579</v>
      </c>
      <c r="S12" s="264" t="s">
        <v>660</v>
      </c>
      <c r="T12" s="265">
        <v>4711184</v>
      </c>
      <c r="U12" s="266">
        <v>392598.78998981224</v>
      </c>
      <c r="V12" s="266">
        <v>392598.78998981224</v>
      </c>
      <c r="W12" s="266">
        <v>392598.8</v>
      </c>
      <c r="X12" s="266">
        <v>392598.78998981224</v>
      </c>
      <c r="Y12" s="266">
        <v>392598.78998981224</v>
      </c>
      <c r="Z12" s="266">
        <v>392598.78998981224</v>
      </c>
      <c r="AA12" s="266">
        <v>392598.78998981201</v>
      </c>
      <c r="AB12" s="266">
        <v>392598.78998981224</v>
      </c>
      <c r="AC12" s="266">
        <v>392598.78998981224</v>
      </c>
      <c r="AD12" s="266">
        <v>392598.78998981224</v>
      </c>
      <c r="AE12" s="266">
        <v>785196.09009168996</v>
      </c>
      <c r="AF12" s="267">
        <f t="shared" si="0"/>
        <v>3533387.6200203756</v>
      </c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</row>
    <row r="13" spans="1:42" s="254" customFormat="1" ht="13.8" thickBot="1" x14ac:dyDescent="0.25">
      <c r="A13" s="238"/>
      <c r="B13" s="239" t="s">
        <v>666</v>
      </c>
      <c r="C13" s="240"/>
      <c r="D13" s="240"/>
      <c r="E13" s="241"/>
      <c r="F13" s="242"/>
      <c r="G13" s="243"/>
      <c r="H13" s="244"/>
      <c r="I13" s="245"/>
      <c r="J13" s="244"/>
      <c r="K13" s="246"/>
      <c r="L13" s="240"/>
      <c r="M13" s="240"/>
      <c r="N13" s="240"/>
      <c r="O13" s="247"/>
      <c r="P13" s="246"/>
      <c r="Q13" s="268"/>
      <c r="R13" s="269"/>
      <c r="S13" s="250" t="s">
        <v>662</v>
      </c>
      <c r="T13" s="251"/>
      <c r="U13" s="252">
        <f>((SUM(U12:$AE12))*($L12+$M12))</f>
        <v>94647.686560000002</v>
      </c>
      <c r="V13" s="252">
        <f>((SUM(V12:$AE12))*($L12+$M12))</f>
        <v>86760.376869104672</v>
      </c>
      <c r="W13" s="252">
        <f>((SUM(W12:$AE12))*($L12+$M12))</f>
        <v>78873.067178209341</v>
      </c>
      <c r="X13" s="252">
        <f>((SUM(X12:$AE12))*($L12+$M12))</f>
        <v>70985.757286209351</v>
      </c>
      <c r="Y13" s="252">
        <f>((SUM(Y12:$AE12))*($L12+$M12))</f>
        <v>63098.447595314014</v>
      </c>
      <c r="Z13" s="252">
        <f>((SUM(Z12:$AE12))*($L12+$M12))</f>
        <v>55211.137904418691</v>
      </c>
      <c r="AA13" s="252">
        <f>((SUM(AA12:$AE12))*($L12+$M12))</f>
        <v>47323.82821352336</v>
      </c>
      <c r="AB13" s="252">
        <f>((SUM(AB12:$AE12))*($L12+$M12))</f>
        <v>39436.518522628037</v>
      </c>
      <c r="AC13" s="252">
        <f>((SUM(AC12:$AE12))*($L12+$M12))</f>
        <v>31549.208831732711</v>
      </c>
      <c r="AD13" s="252">
        <f>((SUM(AD12:$AE12))*($L12+$M12))</f>
        <v>23661.89914083738</v>
      </c>
      <c r="AE13" s="252">
        <f>((SUM(AE12:$AE12))*($L12+$M12))</f>
        <v>15774.589449942052</v>
      </c>
      <c r="AF13" s="253">
        <f t="shared" si="0"/>
        <v>347041.38694460556</v>
      </c>
      <c r="AG13" s="236"/>
      <c r="AH13" s="236"/>
    </row>
    <row r="14" spans="1:42" s="237" customFormat="1" x14ac:dyDescent="0.2">
      <c r="A14" s="216">
        <v>3</v>
      </c>
      <c r="B14" s="217" t="s">
        <v>667</v>
      </c>
      <c r="C14" s="218" t="s">
        <v>668</v>
      </c>
      <c r="D14" s="270" t="s">
        <v>669</v>
      </c>
      <c r="E14" s="271">
        <v>2012</v>
      </c>
      <c r="F14" s="258">
        <v>41096</v>
      </c>
      <c r="G14" s="258" t="s">
        <v>670</v>
      </c>
      <c r="H14" s="222">
        <v>612196</v>
      </c>
      <c r="I14" s="223">
        <f>H14/0.702804</f>
        <v>871076.43098217994</v>
      </c>
      <c r="J14" s="222">
        <f>H14</f>
        <v>612196</v>
      </c>
      <c r="K14" s="224">
        <f>J14/0.702804</f>
        <v>871076.43098217994</v>
      </c>
      <c r="L14" s="225">
        <f>0.105%+$L$7</f>
        <v>1.763E-2</v>
      </c>
      <c r="M14" s="226">
        <f>M7</f>
        <v>2.5000000000000001E-3</v>
      </c>
      <c r="N14" s="227">
        <v>4</v>
      </c>
      <c r="O14" s="228"/>
      <c r="P14" s="229">
        <v>0</v>
      </c>
      <c r="Q14" s="230">
        <v>856768</v>
      </c>
      <c r="R14" s="231">
        <v>828311</v>
      </c>
      <c r="S14" s="232" t="s">
        <v>660</v>
      </c>
      <c r="T14" s="233">
        <v>639883</v>
      </c>
      <c r="U14" s="234">
        <v>53323.543975276181</v>
      </c>
      <c r="V14" s="234">
        <v>53323.543975276181</v>
      </c>
      <c r="W14" s="234">
        <v>53323.56</v>
      </c>
      <c r="X14" s="234">
        <v>53323.543975276181</v>
      </c>
      <c r="Y14" s="234">
        <v>53323.543975276181</v>
      </c>
      <c r="Z14" s="234">
        <v>53323.543975276181</v>
      </c>
      <c r="AA14" s="234">
        <v>53323.543975276181</v>
      </c>
      <c r="AB14" s="234">
        <v>53323.543975276181</v>
      </c>
      <c r="AC14" s="234">
        <v>53323.543975276181</v>
      </c>
      <c r="AD14" s="234">
        <v>53323.543975276181</v>
      </c>
      <c r="AE14" s="234">
        <v>106647.54422251438</v>
      </c>
      <c r="AF14" s="235">
        <f t="shared" si="0"/>
        <v>479912.35204944765</v>
      </c>
      <c r="AG14" s="236"/>
      <c r="AH14" s="236"/>
    </row>
    <row r="15" spans="1:42" s="254" customFormat="1" ht="13.8" thickBot="1" x14ac:dyDescent="0.25">
      <c r="A15" s="238"/>
      <c r="B15" s="239" t="s">
        <v>671</v>
      </c>
      <c r="C15" s="240"/>
      <c r="D15" s="240"/>
      <c r="E15" s="241"/>
      <c r="F15" s="242"/>
      <c r="G15" s="243"/>
      <c r="H15" s="244"/>
      <c r="I15" s="245"/>
      <c r="J15" s="244"/>
      <c r="K15" s="246"/>
      <c r="L15" s="240"/>
      <c r="M15" s="240"/>
      <c r="N15" s="240"/>
      <c r="O15" s="247"/>
      <c r="P15" s="246"/>
      <c r="Q15" s="268"/>
      <c r="R15" s="269"/>
      <c r="S15" s="250" t="s">
        <v>662</v>
      </c>
      <c r="T15" s="251"/>
      <c r="U15" s="252">
        <f>((SUM(U14:$AE14))*($L14+$M14))</f>
        <v>12880.844789999999</v>
      </c>
      <c r="V15" s="252">
        <f>((SUM(V14:$AE14))*($L14+$M14))</f>
        <v>11807.44184977769</v>
      </c>
      <c r="W15" s="252">
        <f>((SUM(W14:$AE14))*($L14+$M14))</f>
        <v>10734.03890955538</v>
      </c>
      <c r="X15" s="252">
        <f>((SUM(X14:$AE14))*($L14+$M14))</f>
        <v>9660.6356467553815</v>
      </c>
      <c r="Y15" s="252">
        <f>((SUM(Y14:$AE14))*($L14+$M14))</f>
        <v>8587.2327065330719</v>
      </c>
      <c r="Z15" s="252">
        <f>((SUM(Z14:$AE14))*($L14+$M14))</f>
        <v>7513.8297663107624</v>
      </c>
      <c r="AA15" s="252">
        <f>((SUM(AA14:$AE14))*($L14+$M14))</f>
        <v>6440.4268260884519</v>
      </c>
      <c r="AB15" s="252">
        <f>((SUM(AB14:$AE14))*($L14+$M14))</f>
        <v>5367.0238858661423</v>
      </c>
      <c r="AC15" s="252">
        <f>((SUM(AC14:$AE14))*($L14+$M14))</f>
        <v>4293.6209456438328</v>
      </c>
      <c r="AD15" s="252">
        <f>((SUM(AD14:$AE14))*($L14+$M14))</f>
        <v>3220.2180054215237</v>
      </c>
      <c r="AE15" s="252">
        <f>((SUM(AE14:$AE14))*($L14+$M14))*3</f>
        <v>6440.4451955976419</v>
      </c>
      <c r="AF15" s="253">
        <f t="shared" si="0"/>
        <v>51523.432978216799</v>
      </c>
      <c r="AG15" s="236"/>
      <c r="AH15" s="236"/>
    </row>
    <row r="16" spans="1:42" s="237" customFormat="1" x14ac:dyDescent="0.2">
      <c r="A16" s="216">
        <v>4</v>
      </c>
      <c r="B16" s="217" t="s">
        <v>672</v>
      </c>
      <c r="C16" s="218" t="s">
        <v>673</v>
      </c>
      <c r="D16" s="270" t="s">
        <v>674</v>
      </c>
      <c r="E16" s="271">
        <v>2012</v>
      </c>
      <c r="F16" s="258">
        <v>41604</v>
      </c>
      <c r="G16" s="272" t="s">
        <v>675</v>
      </c>
      <c r="H16" s="222">
        <v>366106</v>
      </c>
      <c r="I16" s="223">
        <f>H16/0.702804</f>
        <v>520921.90710354527</v>
      </c>
      <c r="J16" s="222">
        <f>H16</f>
        <v>366106</v>
      </c>
      <c r="K16" s="224">
        <f>J16/0.702804</f>
        <v>520921.90710354527</v>
      </c>
      <c r="L16" s="225">
        <f>0.055%+$L$7</f>
        <v>1.7129999999999999E-2</v>
      </c>
      <c r="M16" s="226">
        <f>M7</f>
        <v>2.5000000000000001E-3</v>
      </c>
      <c r="N16" s="227">
        <v>4</v>
      </c>
      <c r="O16" s="228"/>
      <c r="P16" s="229">
        <v>0</v>
      </c>
      <c r="Q16" s="230">
        <v>520922</v>
      </c>
      <c r="R16" s="231">
        <v>463059</v>
      </c>
      <c r="S16" s="232" t="s">
        <v>660</v>
      </c>
      <c r="T16" s="233">
        <v>231528</v>
      </c>
      <c r="U16" s="234">
        <v>57882.425256543786</v>
      </c>
      <c r="V16" s="234">
        <v>57882.425256543786</v>
      </c>
      <c r="W16" s="234">
        <v>57882.44</v>
      </c>
      <c r="X16" s="234">
        <v>57881</v>
      </c>
      <c r="Y16" s="273">
        <v>0</v>
      </c>
      <c r="Z16" s="273">
        <v>0</v>
      </c>
      <c r="AA16" s="273">
        <v>0</v>
      </c>
      <c r="AB16" s="273">
        <v>0</v>
      </c>
      <c r="AC16" s="273">
        <v>0</v>
      </c>
      <c r="AD16" s="273">
        <v>0</v>
      </c>
      <c r="AE16" s="273">
        <v>0</v>
      </c>
      <c r="AF16" s="274">
        <f t="shared" si="0"/>
        <v>57881</v>
      </c>
      <c r="AG16" s="236"/>
      <c r="AH16" s="236"/>
    </row>
    <row r="17" spans="1:34" s="254" customFormat="1" ht="15" thickBot="1" x14ac:dyDescent="0.35">
      <c r="A17" s="238"/>
      <c r="B17" s="239" t="s">
        <v>676</v>
      </c>
      <c r="C17" s="240"/>
      <c r="D17" s="240"/>
      <c r="E17" s="241"/>
      <c r="F17" s="242"/>
      <c r="G17" s="243"/>
      <c r="H17" s="244"/>
      <c r="I17" s="275"/>
      <c r="J17" s="276"/>
      <c r="K17" s="277"/>
      <c r="L17" s="240"/>
      <c r="M17" s="240"/>
      <c r="N17" s="240"/>
      <c r="O17" s="247"/>
      <c r="P17" s="246"/>
      <c r="Q17" s="268"/>
      <c r="R17" s="269"/>
      <c r="S17" s="250" t="s">
        <v>662</v>
      </c>
      <c r="T17" s="251"/>
      <c r="U17" s="252">
        <f>((SUM(U16:$AE16))*($L16+$M16))</f>
        <v>4544.900342771909</v>
      </c>
      <c r="V17" s="252">
        <f>((SUM(V16:$AE16))*($L16+$M16))</f>
        <v>3408.6683349859545</v>
      </c>
      <c r="W17" s="252">
        <f>((SUM(W16:$AE16))*($L16+$M16))</f>
        <v>2272.4363272000001</v>
      </c>
      <c r="X17" s="252">
        <f>((SUM(X16:$AE16))*($L16+$M16))</f>
        <v>1136.2040299999999</v>
      </c>
      <c r="Y17" s="278">
        <f>((SUM(Y16:$AE16))*($L16+$M16))</f>
        <v>0</v>
      </c>
      <c r="Z17" s="278">
        <f>((SUM(Z16:$AE16))*($L16+$M16))</f>
        <v>0</v>
      </c>
      <c r="AA17" s="278">
        <f>((SUM(AA16:$AE16))*($L16+$M16))</f>
        <v>0</v>
      </c>
      <c r="AB17" s="278">
        <f>((SUM(AB16:$AE16))*($L16+$M16))</f>
        <v>0</v>
      </c>
      <c r="AC17" s="278">
        <f>((SUM(AC16:$AE16))*($L16+$M16))</f>
        <v>0</v>
      </c>
      <c r="AD17" s="278">
        <f>((SUM(AD16:$AE16))*($L16+$M16))</f>
        <v>0</v>
      </c>
      <c r="AE17" s="278">
        <f>((SUM(AE16:$AE16))*($L16+$M16))</f>
        <v>0</v>
      </c>
      <c r="AF17" s="253">
        <f t="shared" si="0"/>
        <v>1136.2040299999999</v>
      </c>
      <c r="AG17" s="236"/>
      <c r="AH17" s="236"/>
    </row>
    <row r="18" spans="1:34" s="296" customFormat="1" x14ac:dyDescent="0.2">
      <c r="A18" s="216">
        <v>5</v>
      </c>
      <c r="B18" s="217" t="s">
        <v>677</v>
      </c>
      <c r="C18" s="279" t="s">
        <v>678</v>
      </c>
      <c r="D18" s="280" t="s">
        <v>679</v>
      </c>
      <c r="E18" s="281" t="s">
        <v>680</v>
      </c>
      <c r="F18" s="282" t="s">
        <v>680</v>
      </c>
      <c r="G18" s="283" t="s">
        <v>681</v>
      </c>
      <c r="H18" s="284"/>
      <c r="I18" s="285">
        <v>1925611</v>
      </c>
      <c r="J18" s="284"/>
      <c r="K18" s="286">
        <f>J18/0.702804</f>
        <v>0</v>
      </c>
      <c r="L18" s="225">
        <f>0.105%+$L$7</f>
        <v>1.763E-2</v>
      </c>
      <c r="M18" s="287">
        <f>M7</f>
        <v>2.5000000000000001E-3</v>
      </c>
      <c r="N18" s="288">
        <v>4</v>
      </c>
      <c r="O18" s="289"/>
      <c r="P18" s="290">
        <v>0</v>
      </c>
      <c r="Q18" s="291"/>
      <c r="R18" s="292"/>
      <c r="S18" s="293" t="s">
        <v>660</v>
      </c>
      <c r="T18" s="294">
        <v>1660050</v>
      </c>
      <c r="U18" s="295">
        <v>132804</v>
      </c>
      <c r="V18" s="295">
        <v>132804</v>
      </c>
      <c r="W18" s="295">
        <v>132804</v>
      </c>
      <c r="X18" s="295">
        <v>132804</v>
      </c>
      <c r="Y18" s="295">
        <v>132804</v>
      </c>
      <c r="Z18" s="295">
        <v>132804</v>
      </c>
      <c r="AA18" s="295">
        <v>132804</v>
      </c>
      <c r="AB18" s="295">
        <v>132804</v>
      </c>
      <c r="AC18" s="295">
        <v>132804</v>
      </c>
      <c r="AD18" s="295">
        <v>132804</v>
      </c>
      <c r="AE18" s="295">
        <v>332010</v>
      </c>
      <c r="AF18" s="235">
        <f t="shared" si="0"/>
        <v>1261638</v>
      </c>
      <c r="AG18" s="236"/>
      <c r="AH18" s="236"/>
    </row>
    <row r="19" spans="1:34" s="311" customFormat="1" ht="15" thickBot="1" x14ac:dyDescent="0.35">
      <c r="A19" s="238"/>
      <c r="B19" s="239" t="s">
        <v>682</v>
      </c>
      <c r="C19" s="297"/>
      <c r="D19" s="297"/>
      <c r="E19" s="298"/>
      <c r="F19" s="299"/>
      <c r="G19" s="300"/>
      <c r="H19" s="301"/>
      <c r="I19" s="302"/>
      <c r="J19" s="303"/>
      <c r="K19" s="304"/>
      <c r="L19" s="297"/>
      <c r="M19" s="297"/>
      <c r="N19" s="297"/>
      <c r="O19" s="305"/>
      <c r="P19" s="306"/>
      <c r="Q19" s="307"/>
      <c r="R19" s="308"/>
      <c r="S19" s="309" t="s">
        <v>662</v>
      </c>
      <c r="T19" s="310"/>
      <c r="U19" s="252">
        <f>((SUM(U18:$AE18))*($L18+$M18))</f>
        <v>33416.806499999999</v>
      </c>
      <c r="V19" s="252">
        <f>((SUM(V18:$AE18))*($L18+$M18))</f>
        <v>30743.461979999996</v>
      </c>
      <c r="W19" s="252">
        <f>((SUM(W18:$AE18))*($L18+$M18))</f>
        <v>28070.117459999998</v>
      </c>
      <c r="X19" s="252">
        <f>((SUM(X18:$AE18))*($L18+$M18))</f>
        <v>25396.772939999999</v>
      </c>
      <c r="Y19" s="252">
        <f>((SUM(Y18:$AE18))*($L18+$M18))</f>
        <v>22723.42842</v>
      </c>
      <c r="Z19" s="252">
        <f>((SUM(Z18:$AE18))*($L18+$M18))</f>
        <v>20050.083899999998</v>
      </c>
      <c r="AA19" s="252">
        <f>((SUM(AA18:$AE18))*($L18+$M18))</f>
        <v>17376.739379999999</v>
      </c>
      <c r="AB19" s="252">
        <f>((SUM(AB18:$AE18))*($L18+$M18))</f>
        <v>14703.394859999999</v>
      </c>
      <c r="AC19" s="252">
        <f>((SUM(AC18:$AE18))*($L18+$M18))</f>
        <v>12030.05034</v>
      </c>
      <c r="AD19" s="252">
        <f>((SUM(AD18:$AE18))*($L18+$M18))</f>
        <v>9356.7058199999992</v>
      </c>
      <c r="AE19" s="252">
        <f>((SUM(AE18:$AE18))*($L18+$M18))*3</f>
        <v>20050.083899999998</v>
      </c>
      <c r="AF19" s="253">
        <f t="shared" si="0"/>
        <v>141687.25956000001</v>
      </c>
      <c r="AG19" s="236"/>
      <c r="AH19" s="236"/>
    </row>
    <row r="20" spans="1:34" s="237" customFormat="1" x14ac:dyDescent="0.2">
      <c r="A20" s="216">
        <v>6</v>
      </c>
      <c r="B20" s="217" t="s">
        <v>683</v>
      </c>
      <c r="C20" s="279" t="s">
        <v>684</v>
      </c>
      <c r="D20" s="280" t="s">
        <v>685</v>
      </c>
      <c r="E20" s="312" t="s">
        <v>686</v>
      </c>
      <c r="F20" s="312" t="s">
        <v>686</v>
      </c>
      <c r="G20" s="313" t="s">
        <v>687</v>
      </c>
      <c r="H20" s="222"/>
      <c r="I20" s="223">
        <v>154450.12</v>
      </c>
      <c r="J20" s="222"/>
      <c r="K20" s="224">
        <f>J20/0.702804</f>
        <v>0</v>
      </c>
      <c r="L20" s="225">
        <f>0.055%+$L$7</f>
        <v>1.7129999999999999E-2</v>
      </c>
      <c r="M20" s="226">
        <f>M7</f>
        <v>2.5000000000000001E-3</v>
      </c>
      <c r="N20" s="227">
        <v>4</v>
      </c>
      <c r="O20" s="228"/>
      <c r="P20" s="229">
        <v>0</v>
      </c>
      <c r="Q20" s="230"/>
      <c r="R20" s="231"/>
      <c r="S20" s="232" t="s">
        <v>660</v>
      </c>
      <c r="T20" s="233">
        <v>133518</v>
      </c>
      <c r="U20" s="234">
        <v>10472</v>
      </c>
      <c r="V20" s="234">
        <v>10472</v>
      </c>
      <c r="W20" s="234">
        <v>10472</v>
      </c>
      <c r="X20" s="234">
        <v>10472</v>
      </c>
      <c r="Y20" s="234">
        <v>10472</v>
      </c>
      <c r="Z20" s="234">
        <v>10472</v>
      </c>
      <c r="AA20" s="234">
        <v>10472</v>
      </c>
      <c r="AB20" s="234">
        <v>10472</v>
      </c>
      <c r="AC20" s="234">
        <v>10472</v>
      </c>
      <c r="AD20" s="234">
        <v>10472</v>
      </c>
      <c r="AE20" s="234">
        <v>28798</v>
      </c>
      <c r="AF20" s="235">
        <f t="shared" si="0"/>
        <v>102102</v>
      </c>
      <c r="AG20" s="236"/>
      <c r="AH20" s="236"/>
    </row>
    <row r="21" spans="1:34" s="254" customFormat="1" ht="15" thickBot="1" x14ac:dyDescent="0.35">
      <c r="A21" s="238"/>
      <c r="B21" s="239" t="s">
        <v>688</v>
      </c>
      <c r="C21" s="240"/>
      <c r="D21" s="240"/>
      <c r="E21" s="241"/>
      <c r="F21" s="242"/>
      <c r="G21" s="243"/>
      <c r="H21" s="244"/>
      <c r="I21" s="275"/>
      <c r="J21" s="276"/>
      <c r="K21" s="277"/>
      <c r="L21" s="240"/>
      <c r="M21" s="240"/>
      <c r="N21" s="240"/>
      <c r="O21" s="247"/>
      <c r="P21" s="246"/>
      <c r="Q21" s="268"/>
      <c r="R21" s="269"/>
      <c r="S21" s="250" t="s">
        <v>662</v>
      </c>
      <c r="T21" s="251"/>
      <c r="U21" s="252">
        <f>((SUM(U20:$AE20))*($L20+$M20))</f>
        <v>2620.9583399999997</v>
      </c>
      <c r="V21" s="252">
        <f>((SUM(V20:$AE20))*($L20+$M20))</f>
        <v>2415.3929799999996</v>
      </c>
      <c r="W21" s="252">
        <f>((SUM(W20:$AE20))*($L20+$M20))</f>
        <v>2209.8276199999996</v>
      </c>
      <c r="X21" s="252">
        <f>((SUM(X20:$AE20))*($L20+$M20))</f>
        <v>2004.2622599999997</v>
      </c>
      <c r="Y21" s="252">
        <f>((SUM(Y20:$AE20))*($L20+$M20))</f>
        <v>1798.6968999999999</v>
      </c>
      <c r="Z21" s="252">
        <f>((SUM(Z20:$AE20))*($L20+$M20))</f>
        <v>1593.1315399999999</v>
      </c>
      <c r="AA21" s="252">
        <f>((SUM(AA20:$AE20))*($L20+$M20))</f>
        <v>1387.5661799999998</v>
      </c>
      <c r="AB21" s="252">
        <f>((SUM(AB20:$AE20))*($L20+$M20))</f>
        <v>1182.00082</v>
      </c>
      <c r="AC21" s="252">
        <f>((SUM(AC20:$AE20))*($L20+$M20))</f>
        <v>976.43545999999992</v>
      </c>
      <c r="AD21" s="252">
        <f>((SUM(AD20:$AE20))*($L20+$M20))</f>
        <v>770.87009999999998</v>
      </c>
      <c r="AE21" s="252">
        <f>((SUM(AE20:$AE20))*($L20+$M20))*3</f>
        <v>1695.9142199999997</v>
      </c>
      <c r="AF21" s="253">
        <f t="shared" si="0"/>
        <v>11408.877479999999</v>
      </c>
      <c r="AG21" s="236"/>
      <c r="AH21" s="236"/>
    </row>
    <row r="22" spans="1:34" s="254" customFormat="1" ht="14.4" x14ac:dyDescent="0.3">
      <c r="A22" s="255">
        <v>7</v>
      </c>
      <c r="B22" s="256" t="s">
        <v>689</v>
      </c>
      <c r="C22" s="261" t="s">
        <v>690</v>
      </c>
      <c r="D22" s="261" t="s">
        <v>691</v>
      </c>
      <c r="E22" s="314" t="s">
        <v>692</v>
      </c>
      <c r="F22" s="315" t="s">
        <v>692</v>
      </c>
      <c r="G22" s="313" t="s">
        <v>693</v>
      </c>
      <c r="H22" s="259"/>
      <c r="I22" s="316">
        <f>46627+88266</f>
        <v>134893</v>
      </c>
      <c r="J22" s="317"/>
      <c r="K22" s="277"/>
      <c r="L22" s="225">
        <f>0.055%+$L$7</f>
        <v>1.7129999999999999E-2</v>
      </c>
      <c r="M22" s="226">
        <f>M7</f>
        <v>2.5000000000000001E-3</v>
      </c>
      <c r="N22" s="261"/>
      <c r="O22" s="262"/>
      <c r="P22" s="263"/>
      <c r="Q22" s="318"/>
      <c r="R22" s="319"/>
      <c r="S22" s="232" t="s">
        <v>660</v>
      </c>
      <c r="T22" s="320">
        <v>89936</v>
      </c>
      <c r="U22" s="321">
        <v>25696</v>
      </c>
      <c r="V22" s="321">
        <v>25696</v>
      </c>
      <c r="W22" s="321">
        <v>25696</v>
      </c>
      <c r="X22" s="321">
        <v>12848</v>
      </c>
      <c r="Y22" s="273">
        <v>0</v>
      </c>
      <c r="Z22" s="273">
        <v>0</v>
      </c>
      <c r="AA22" s="273">
        <v>0</v>
      </c>
      <c r="AB22" s="273">
        <v>0</v>
      </c>
      <c r="AC22" s="273">
        <v>0</v>
      </c>
      <c r="AD22" s="273">
        <v>0</v>
      </c>
      <c r="AE22" s="273">
        <v>0</v>
      </c>
      <c r="AF22" s="235">
        <f t="shared" si="0"/>
        <v>12848</v>
      </c>
      <c r="AG22" s="236"/>
      <c r="AH22" s="322"/>
    </row>
    <row r="23" spans="1:34" s="254" customFormat="1" ht="15" thickBot="1" x14ac:dyDescent="0.35">
      <c r="A23" s="238"/>
      <c r="B23" s="239"/>
      <c r="C23" s="240"/>
      <c r="D23" s="240"/>
      <c r="E23" s="241"/>
      <c r="F23" s="242" t="s">
        <v>694</v>
      </c>
      <c r="G23" s="243"/>
      <c r="H23" s="244"/>
      <c r="I23" s="245" t="s">
        <v>695</v>
      </c>
      <c r="J23" s="323"/>
      <c r="K23" s="324"/>
      <c r="L23" s="240"/>
      <c r="M23" s="240"/>
      <c r="N23" s="240"/>
      <c r="O23" s="247"/>
      <c r="P23" s="246"/>
      <c r="Q23" s="268"/>
      <c r="R23" s="269"/>
      <c r="S23" s="250" t="s">
        <v>662</v>
      </c>
      <c r="T23" s="251"/>
      <c r="U23" s="252">
        <f>((SUM(U22:$AE22))*($L22+$M22))</f>
        <v>1765.4436799999999</v>
      </c>
      <c r="V23" s="252">
        <f>((SUM(V22:$AE22))*($L22+$M22))</f>
        <v>1261.0311999999999</v>
      </c>
      <c r="W23" s="252">
        <f>((SUM(W22:$AE22))*($L22+$M22))</f>
        <v>756.61871999999994</v>
      </c>
      <c r="X23" s="252">
        <f>((SUM(X22:$AE22))*($L22+$M22))</f>
        <v>252.20623999999998</v>
      </c>
      <c r="Y23" s="278">
        <f>((SUM(Y22:$AE22))*($L22+$M22))</f>
        <v>0</v>
      </c>
      <c r="Z23" s="278">
        <f>((SUM(Z22:$AE22))*($L22+$M22))</f>
        <v>0</v>
      </c>
      <c r="AA23" s="278">
        <f>((SUM(AA22:$AE22))*($L22+$M22))</f>
        <v>0</v>
      </c>
      <c r="AB23" s="278">
        <f>((SUM(AB22:$AE22))*($L22+$M22))</f>
        <v>0</v>
      </c>
      <c r="AC23" s="278">
        <f>((SUM(AC22:$AE22))*($L22+$M22))</f>
        <v>0</v>
      </c>
      <c r="AD23" s="278">
        <f>((SUM(AD22:$AE22))*($L22+$M22))</f>
        <v>0</v>
      </c>
      <c r="AE23" s="278">
        <f>((SUM(AE22:$AE22))*($L22+$M22))</f>
        <v>0</v>
      </c>
      <c r="AF23" s="253">
        <f t="shared" si="0"/>
        <v>252.20623999999998</v>
      </c>
      <c r="AG23" s="236"/>
      <c r="AH23" s="236"/>
    </row>
    <row r="24" spans="1:34" s="237" customFormat="1" ht="13.8" hidden="1" outlineLevel="1" thickBot="1" x14ac:dyDescent="0.25">
      <c r="A24" s="325"/>
      <c r="B24" s="217" t="s">
        <v>696</v>
      </c>
      <c r="C24" s="218" t="s">
        <v>697</v>
      </c>
      <c r="D24" s="270" t="s">
        <v>698</v>
      </c>
      <c r="E24" s="258" t="s">
        <v>699</v>
      </c>
      <c r="F24" s="258" t="s">
        <v>699</v>
      </c>
      <c r="G24" s="313" t="s">
        <v>700</v>
      </c>
      <c r="H24" s="222"/>
      <c r="I24" s="223">
        <v>330753</v>
      </c>
      <c r="J24" s="222"/>
      <c r="K24" s="224">
        <f>J24/0.702804</f>
        <v>0</v>
      </c>
      <c r="L24" s="326">
        <f>0.101%+L7</f>
        <v>1.7590000000000001E-2</v>
      </c>
      <c r="M24" s="226">
        <f>M7</f>
        <v>2.5000000000000001E-3</v>
      </c>
      <c r="N24" s="227">
        <v>4</v>
      </c>
      <c r="O24" s="228"/>
      <c r="P24" s="229">
        <v>0</v>
      </c>
      <c r="Q24" s="230"/>
      <c r="R24" s="231"/>
      <c r="S24" s="232" t="s">
        <v>660</v>
      </c>
      <c r="T24" s="233">
        <v>164592</v>
      </c>
      <c r="U24" s="234">
        <v>82296</v>
      </c>
      <c r="V24" s="234">
        <v>82296</v>
      </c>
      <c r="W24" s="273">
        <v>0</v>
      </c>
      <c r="X24" s="273">
        <v>0</v>
      </c>
      <c r="Y24" s="273">
        <v>0</v>
      </c>
      <c r="Z24" s="273">
        <v>0</v>
      </c>
      <c r="AA24" s="273">
        <v>0</v>
      </c>
      <c r="AB24" s="273">
        <v>0</v>
      </c>
      <c r="AC24" s="273">
        <v>0</v>
      </c>
      <c r="AD24" s="273">
        <v>0</v>
      </c>
      <c r="AE24" s="273">
        <v>0</v>
      </c>
      <c r="AF24" s="235">
        <f t="shared" si="0"/>
        <v>0</v>
      </c>
      <c r="AG24" s="236"/>
      <c r="AH24" s="236"/>
    </row>
    <row r="25" spans="1:34" s="254" customFormat="1" ht="15" hidden="1" outlineLevel="1" thickBot="1" x14ac:dyDescent="0.35">
      <c r="A25" s="238"/>
      <c r="B25" s="327" t="s">
        <v>701</v>
      </c>
      <c r="C25" s="240"/>
      <c r="D25" s="240"/>
      <c r="E25" s="241"/>
      <c r="F25" s="242"/>
      <c r="G25" s="243"/>
      <c r="H25" s="244"/>
      <c r="I25" s="275"/>
      <c r="J25" s="276"/>
      <c r="K25" s="277"/>
      <c r="L25" s="240"/>
      <c r="M25" s="240"/>
      <c r="N25" s="240"/>
      <c r="O25" s="247"/>
      <c r="P25" s="246"/>
      <c r="Q25" s="268"/>
      <c r="R25" s="269"/>
      <c r="S25" s="250" t="s">
        <v>662</v>
      </c>
      <c r="T25" s="251"/>
      <c r="U25" s="252">
        <f>((SUM(U24:$AE24))*($L24+$M24))</f>
        <v>3306.65328</v>
      </c>
      <c r="V25" s="252">
        <f>((SUM(V24:$AE24))*($L24+$M24))</f>
        <v>1653.32664</v>
      </c>
      <c r="W25" s="278">
        <f>((SUM(W24:$AE24))*($L24+$M24))</f>
        <v>0</v>
      </c>
      <c r="X25" s="278">
        <f>((SUM(X24:$AE24))*($L24+$M24))</f>
        <v>0</v>
      </c>
      <c r="Y25" s="278">
        <f>((SUM(Y24:$AE24))*($L24+$M24))</f>
        <v>0</v>
      </c>
      <c r="Z25" s="278">
        <f>((SUM(Z24:$AE24))*($L24+$M24))</f>
        <v>0</v>
      </c>
      <c r="AA25" s="278">
        <f>((SUM(AA24:$AE24))*($L24+$M24))</f>
        <v>0</v>
      </c>
      <c r="AB25" s="278">
        <f>((SUM(AB24:$AE24))*($L24+$M24))</f>
        <v>0</v>
      </c>
      <c r="AC25" s="278">
        <f>((SUM(AC24:$AE24))*($L24+$M24))</f>
        <v>0</v>
      </c>
      <c r="AD25" s="278">
        <f>((SUM(AD24:$AE24))*($L24+$M24))</f>
        <v>0</v>
      </c>
      <c r="AE25" s="278">
        <f>((SUM(AE24:$AE24))*($L24+$M24))</f>
        <v>0</v>
      </c>
      <c r="AF25" s="253">
        <f t="shared" si="0"/>
        <v>0</v>
      </c>
      <c r="AG25" s="236"/>
      <c r="AH25" s="236"/>
    </row>
    <row r="26" spans="1:34" s="254" customFormat="1" ht="13.8" hidden="1" outlineLevel="1" thickBot="1" x14ac:dyDescent="0.25">
      <c r="A26" s="325" t="s">
        <v>108</v>
      </c>
      <c r="B26" s="256" t="s">
        <v>696</v>
      </c>
      <c r="C26" s="261" t="s">
        <v>702</v>
      </c>
      <c r="D26" s="261" t="s">
        <v>703</v>
      </c>
      <c r="E26" s="315" t="s">
        <v>704</v>
      </c>
      <c r="F26" s="315" t="s">
        <v>704</v>
      </c>
      <c r="G26" s="313" t="s">
        <v>705</v>
      </c>
      <c r="H26" s="259"/>
      <c r="I26" s="316">
        <v>32850</v>
      </c>
      <c r="J26" s="259"/>
      <c r="K26" s="277"/>
      <c r="L26" s="326">
        <f>0.101%+L7</f>
        <v>1.7590000000000001E-2</v>
      </c>
      <c r="M26" s="226">
        <f>M7</f>
        <v>2.5000000000000001E-3</v>
      </c>
      <c r="N26" s="261"/>
      <c r="O26" s="262"/>
      <c r="P26" s="263"/>
      <c r="Q26" s="318"/>
      <c r="R26" s="319"/>
      <c r="S26" s="264" t="s">
        <v>660</v>
      </c>
      <c r="T26" s="328">
        <v>20075</v>
      </c>
      <c r="U26" s="321">
        <v>7300</v>
      </c>
      <c r="V26" s="321">
        <v>7300</v>
      </c>
      <c r="W26" s="321">
        <v>5475</v>
      </c>
      <c r="X26" s="273">
        <v>0</v>
      </c>
      <c r="Y26" s="273">
        <v>0</v>
      </c>
      <c r="Z26" s="273">
        <v>0</v>
      </c>
      <c r="AA26" s="273">
        <v>0</v>
      </c>
      <c r="AB26" s="273">
        <v>0</v>
      </c>
      <c r="AC26" s="273">
        <v>0</v>
      </c>
      <c r="AD26" s="273">
        <v>0</v>
      </c>
      <c r="AE26" s="273">
        <v>0</v>
      </c>
      <c r="AF26" s="235">
        <f t="shared" si="0"/>
        <v>0</v>
      </c>
      <c r="AG26" s="236"/>
      <c r="AH26" s="236"/>
    </row>
    <row r="27" spans="1:34" s="254" customFormat="1" ht="15" hidden="1" outlineLevel="1" thickBot="1" x14ac:dyDescent="0.35">
      <c r="A27" s="238"/>
      <c r="B27" s="327" t="s">
        <v>706</v>
      </c>
      <c r="C27" s="240"/>
      <c r="D27" s="240"/>
      <c r="E27" s="241"/>
      <c r="F27" s="242"/>
      <c r="G27" s="243"/>
      <c r="H27" s="244"/>
      <c r="I27" s="245"/>
      <c r="J27" s="323"/>
      <c r="K27" s="324"/>
      <c r="L27" s="240"/>
      <c r="M27" s="240"/>
      <c r="N27" s="240"/>
      <c r="O27" s="247"/>
      <c r="P27" s="246"/>
      <c r="Q27" s="268"/>
      <c r="R27" s="269"/>
      <c r="S27" s="250" t="s">
        <v>662</v>
      </c>
      <c r="T27" s="251"/>
      <c r="U27" s="252">
        <f>((SUM(U26:$AE26))*($L26+$M26))</f>
        <v>403.30675000000002</v>
      </c>
      <c r="V27" s="252">
        <f>((SUM(V26:$AE26))*($L26+$M26))</f>
        <v>256.64974999999998</v>
      </c>
      <c r="W27" s="252">
        <f>((SUM(W26:$AE26))*($L26+$M26))</f>
        <v>109.99275</v>
      </c>
      <c r="X27" s="278">
        <f>((SUM(X26:$AE26))*($L26+$M26))</f>
        <v>0</v>
      </c>
      <c r="Y27" s="278">
        <f>((SUM(Y26:$AE26))*($L26+$M26))</f>
        <v>0</v>
      </c>
      <c r="Z27" s="278">
        <f>((SUM(Z26:$AE26))*($L26+$M26))</f>
        <v>0</v>
      </c>
      <c r="AA27" s="278">
        <f>((SUM(AA26:$AE26))*($L26+$M26))</f>
        <v>0</v>
      </c>
      <c r="AB27" s="278">
        <f>((SUM(AB26:$AE26))*($L26+$M26))</f>
        <v>0</v>
      </c>
      <c r="AC27" s="278">
        <f>((SUM(AC26:$AE26))*($L26+$M26))</f>
        <v>0</v>
      </c>
      <c r="AD27" s="278">
        <f>((SUM(AD26:$AE26))*($L26+$M26))</f>
        <v>0</v>
      </c>
      <c r="AE27" s="278">
        <f>((SUM(AE26:$AE26))*($L26+$M26))</f>
        <v>0</v>
      </c>
      <c r="AF27" s="253">
        <f t="shared" si="0"/>
        <v>0</v>
      </c>
      <c r="AG27" s="236"/>
      <c r="AH27" s="236"/>
    </row>
    <row r="28" spans="1:34" s="254" customFormat="1" collapsed="1" x14ac:dyDescent="0.2">
      <c r="A28" s="255" t="s">
        <v>112</v>
      </c>
      <c r="B28" s="217" t="s">
        <v>696</v>
      </c>
      <c r="C28" s="227" t="s">
        <v>707</v>
      </c>
      <c r="D28" s="227" t="s">
        <v>708</v>
      </c>
      <c r="E28" s="329" t="s">
        <v>709</v>
      </c>
      <c r="F28" s="329" t="s">
        <v>709</v>
      </c>
      <c r="G28" s="330" t="s">
        <v>710</v>
      </c>
      <c r="H28" s="222"/>
      <c r="I28" s="331">
        <v>11123368</v>
      </c>
      <c r="J28" s="222"/>
      <c r="K28" s="224">
        <f>J28/0.702804</f>
        <v>0</v>
      </c>
      <c r="L28" s="326">
        <f>0.055%+$L$7</f>
        <v>1.7129999999999999E-2</v>
      </c>
      <c r="M28" s="226">
        <f>M7</f>
        <v>2.5000000000000001E-3</v>
      </c>
      <c r="N28" s="227">
        <v>4</v>
      </c>
      <c r="O28" s="228"/>
      <c r="P28" s="229">
        <v>0</v>
      </c>
      <c r="Q28" s="230"/>
      <c r="R28" s="231"/>
      <c r="S28" s="232" t="s">
        <v>660</v>
      </c>
      <c r="T28" s="233">
        <v>10791159</v>
      </c>
      <c r="U28" s="234">
        <v>0</v>
      </c>
      <c r="V28" s="234">
        <v>824409</v>
      </c>
      <c r="W28" s="234">
        <v>379984</v>
      </c>
      <c r="X28" s="234">
        <v>379984</v>
      </c>
      <c r="Y28" s="234">
        <v>379984</v>
      </c>
      <c r="Z28" s="234">
        <v>379984</v>
      </c>
      <c r="AA28" s="234">
        <v>379984</v>
      </c>
      <c r="AB28" s="234">
        <v>379984</v>
      </c>
      <c r="AC28" s="234">
        <v>379984</v>
      </c>
      <c r="AD28" s="234">
        <v>379984</v>
      </c>
      <c r="AE28" s="234">
        <v>6926878</v>
      </c>
      <c r="AF28" s="235">
        <f t="shared" si="0"/>
        <v>9586766</v>
      </c>
      <c r="AG28" s="236"/>
      <c r="AH28" s="236"/>
    </row>
    <row r="29" spans="1:34" s="254" customFormat="1" ht="15" thickBot="1" x14ac:dyDescent="0.35">
      <c r="A29" s="238"/>
      <c r="B29" s="327" t="s">
        <v>711</v>
      </c>
      <c r="C29" s="240" t="s">
        <v>712</v>
      </c>
      <c r="D29" s="240"/>
      <c r="E29" s="241"/>
      <c r="F29" s="242"/>
      <c r="G29" s="243"/>
      <c r="H29" s="244"/>
      <c r="I29" s="275"/>
      <c r="J29" s="323"/>
      <c r="K29" s="324"/>
      <c r="L29" s="240"/>
      <c r="M29" s="240"/>
      <c r="N29" s="240"/>
      <c r="O29" s="247"/>
      <c r="P29" s="246"/>
      <c r="Q29" s="268"/>
      <c r="R29" s="269"/>
      <c r="S29" s="250" t="s">
        <v>662</v>
      </c>
      <c r="T29" s="251"/>
      <c r="U29" s="332"/>
      <c r="V29" s="252">
        <f>((SUM(V28:$AE28))*($L28+$M28))</f>
        <v>211830.45116999999</v>
      </c>
      <c r="W29" s="252">
        <f>((SUM(W28:$AE28))*($L28+$M28))</f>
        <v>195647.30249999999</v>
      </c>
      <c r="X29" s="252">
        <f>((SUM(X28:$AE28))*($L28+$M28))</f>
        <v>188188.21657999998</v>
      </c>
      <c r="Y29" s="252">
        <f>((SUM(Y28:$AE28))*($L28+$M28))</f>
        <v>180729.13066</v>
      </c>
      <c r="Z29" s="252">
        <f>((SUM(Z28:$AE28))*($L28+$M28))</f>
        <v>173270.04473999998</v>
      </c>
      <c r="AA29" s="252">
        <f>((SUM(AA28:$AE28))*($L28+$M28))</f>
        <v>165810.95881999997</v>
      </c>
      <c r="AB29" s="252">
        <f>((SUM(AB28:$AE28))*($L28+$M28))</f>
        <v>158351.87289999999</v>
      </c>
      <c r="AC29" s="252">
        <f>((SUM(AC28:$AE28))*($L28+$M28))</f>
        <v>150892.78697999998</v>
      </c>
      <c r="AD29" s="252">
        <f>((SUM(AD28:$AE28))*($L28+$M28))</f>
        <v>143433.70105999999</v>
      </c>
      <c r="AE29" s="252">
        <f>((SUM(AE28:$AE28))*($L28+$M28))*18</f>
        <v>2447543.0725199995</v>
      </c>
      <c r="AF29" s="253">
        <f t="shared" si="0"/>
        <v>3608219.7842599992</v>
      </c>
      <c r="AG29" s="236"/>
      <c r="AH29" s="236"/>
    </row>
    <row r="30" spans="1:34" s="254" customFormat="1" x14ac:dyDescent="0.2">
      <c r="A30" s="216" t="s">
        <v>114</v>
      </c>
      <c r="B30" s="217" t="s">
        <v>696</v>
      </c>
      <c r="C30" s="227" t="s">
        <v>713</v>
      </c>
      <c r="D30" s="227" t="s">
        <v>714</v>
      </c>
      <c r="E30" s="333"/>
      <c r="F30" s="329" t="s">
        <v>715</v>
      </c>
      <c r="G30" s="330" t="s">
        <v>716</v>
      </c>
      <c r="H30" s="222"/>
      <c r="I30" s="331">
        <f>2405442+170925.8</f>
        <v>2576367.7999999998</v>
      </c>
      <c r="J30" s="222"/>
      <c r="K30" s="224">
        <f>J30/0.702804</f>
        <v>0</v>
      </c>
      <c r="L30" s="225">
        <f>0.105%+$L$7</f>
        <v>1.763E-2</v>
      </c>
      <c r="M30" s="226">
        <f>M7</f>
        <v>2.5000000000000001E-3</v>
      </c>
      <c r="N30" s="227">
        <v>4</v>
      </c>
      <c r="O30" s="228"/>
      <c r="P30" s="229">
        <v>0</v>
      </c>
      <c r="Q30" s="230"/>
      <c r="R30" s="231"/>
      <c r="S30" s="232" t="s">
        <v>660</v>
      </c>
      <c r="T30" s="234"/>
      <c r="U30" s="234">
        <v>0</v>
      </c>
      <c r="V30" s="234">
        <v>23994</v>
      </c>
      <c r="W30" s="234">
        <v>96316</v>
      </c>
      <c r="X30" s="234">
        <v>89924</v>
      </c>
      <c r="Y30" s="234">
        <v>89924</v>
      </c>
      <c r="Z30" s="234">
        <v>89924</v>
      </c>
      <c r="AA30" s="234">
        <v>96316</v>
      </c>
      <c r="AB30" s="234">
        <v>96316</v>
      </c>
      <c r="AC30" s="234">
        <v>96316</v>
      </c>
      <c r="AD30" s="234">
        <v>96316</v>
      </c>
      <c r="AE30" s="234">
        <v>1801021.7999999998</v>
      </c>
      <c r="AF30" s="235">
        <f t="shared" si="0"/>
        <v>2456057.7999999998</v>
      </c>
      <c r="AG30" s="236"/>
      <c r="AH30" s="236"/>
    </row>
    <row r="31" spans="1:34" s="254" customFormat="1" ht="15" thickBot="1" x14ac:dyDescent="0.35">
      <c r="A31" s="238"/>
      <c r="B31" s="327" t="s">
        <v>717</v>
      </c>
      <c r="C31" s="240"/>
      <c r="D31" s="240"/>
      <c r="E31" s="241"/>
      <c r="F31" s="242"/>
      <c r="G31" s="243"/>
      <c r="H31" s="244"/>
      <c r="I31" s="275"/>
      <c r="J31" s="323"/>
      <c r="K31" s="324"/>
      <c r="L31" s="334" t="s">
        <v>718</v>
      </c>
      <c r="M31" s="240"/>
      <c r="N31" s="240"/>
      <c r="O31" s="247"/>
      <c r="P31" s="246"/>
      <c r="Q31" s="268"/>
      <c r="R31" s="269"/>
      <c r="S31" s="250" t="s">
        <v>662</v>
      </c>
      <c r="T31" s="332"/>
      <c r="U31" s="252">
        <v>4191</v>
      </c>
      <c r="V31" s="252">
        <v>10135</v>
      </c>
      <c r="W31" s="252">
        <f>((SUM(W30:$AE30))*($L30+$M30))</f>
        <v>51379.28459399999</v>
      </c>
      <c r="X31" s="252">
        <f>((SUM(X30:$AE30))*($L30+$M30))</f>
        <v>49440.443513999991</v>
      </c>
      <c r="Y31" s="252">
        <f>((SUM(Y30:$AE30))*($L30+$M30))</f>
        <v>47630.273393999996</v>
      </c>
      <c r="Z31" s="252">
        <f>((SUM(Z30:$AE30))*($L30+$M30))</f>
        <v>45820.103273999994</v>
      </c>
      <c r="AA31" s="252">
        <f>((SUM(AA30:$AE30))*($L30+$M30))</f>
        <v>44009.933153999991</v>
      </c>
      <c r="AB31" s="252">
        <f>((SUM(AB30:$AE30))*($L30+$M30))</f>
        <v>42071.092073999993</v>
      </c>
      <c r="AC31" s="252">
        <f>((SUM(AC30:$AE30))*($L30+$M30))</f>
        <v>40132.250993999995</v>
      </c>
      <c r="AD31" s="252">
        <f>((SUM(AD30:$AE30))*($L30+$M30))</f>
        <v>38193.409913999996</v>
      </c>
      <c r="AE31" s="252">
        <f>((SUM(AE30:$AE30))*($L30+$M30))*18</f>
        <v>652582.2390119998</v>
      </c>
      <c r="AF31" s="253">
        <f t="shared" si="0"/>
        <v>959879.74532999983</v>
      </c>
      <c r="AG31" s="236"/>
      <c r="AH31" s="236"/>
    </row>
    <row r="32" spans="1:34" s="254" customFormat="1" ht="14.4" x14ac:dyDescent="0.3">
      <c r="A32" s="216">
        <v>9</v>
      </c>
      <c r="B32" s="217" t="s">
        <v>719</v>
      </c>
      <c r="C32" s="261" t="s">
        <v>720</v>
      </c>
      <c r="D32" s="261" t="s">
        <v>721</v>
      </c>
      <c r="E32" s="314"/>
      <c r="F32" s="227" t="s">
        <v>722</v>
      </c>
      <c r="G32" s="227" t="s">
        <v>723</v>
      </c>
      <c r="H32" s="259"/>
      <c r="I32" s="335">
        <v>166837</v>
      </c>
      <c r="J32" s="317"/>
      <c r="K32" s="277"/>
      <c r="L32" s="326">
        <f>0.101%+L7</f>
        <v>1.7590000000000001E-2</v>
      </c>
      <c r="M32" s="226">
        <f>M7</f>
        <v>2.5000000000000001E-3</v>
      </c>
      <c r="N32" s="227">
        <v>4</v>
      </c>
      <c r="O32" s="262"/>
      <c r="P32" s="263"/>
      <c r="Q32" s="318"/>
      <c r="R32" s="319"/>
      <c r="S32" s="232" t="s">
        <v>660</v>
      </c>
      <c r="T32" s="321"/>
      <c r="U32" s="321">
        <v>0</v>
      </c>
      <c r="V32" s="321">
        <v>0</v>
      </c>
      <c r="W32" s="321">
        <v>0</v>
      </c>
      <c r="X32" s="321">
        <v>37071</v>
      </c>
      <c r="Y32" s="321">
        <v>37076</v>
      </c>
      <c r="Z32" s="321">
        <v>37076</v>
      </c>
      <c r="AA32" s="321">
        <v>37076</v>
      </c>
      <c r="AB32" s="321">
        <v>18538</v>
      </c>
      <c r="AC32" s="273">
        <v>0</v>
      </c>
      <c r="AD32" s="273">
        <v>0</v>
      </c>
      <c r="AE32" s="273">
        <v>0</v>
      </c>
      <c r="AF32" s="235">
        <f t="shared" si="0"/>
        <v>166837</v>
      </c>
      <c r="AG32" s="236"/>
      <c r="AH32" s="236"/>
    </row>
    <row r="33" spans="1:120" s="254" customFormat="1" ht="15" thickBot="1" x14ac:dyDescent="0.35">
      <c r="A33" s="238"/>
      <c r="B33" s="327"/>
      <c r="C33" s="240"/>
      <c r="D33" s="240"/>
      <c r="E33" s="241"/>
      <c r="F33" s="240"/>
      <c r="G33" s="240"/>
      <c r="H33" s="244"/>
      <c r="I33" s="275"/>
      <c r="J33" s="317"/>
      <c r="K33" s="277"/>
      <c r="L33" s="240"/>
      <c r="M33" s="240"/>
      <c r="N33" s="240"/>
      <c r="O33" s="262"/>
      <c r="P33" s="263"/>
      <c r="Q33" s="318"/>
      <c r="R33" s="319"/>
      <c r="S33" s="250" t="s">
        <v>662</v>
      </c>
      <c r="T33" s="332"/>
      <c r="U33" s="252">
        <v>2000</v>
      </c>
      <c r="V33" s="332"/>
      <c r="W33" s="332"/>
      <c r="X33" s="252">
        <f>((SUM(X32:$AE32))*($L32+$M32))</f>
        <v>3351.75533</v>
      </c>
      <c r="Y33" s="252">
        <f>((SUM(Y32:$AE32))*($L32+$M32))</f>
        <v>2606.9989399999999</v>
      </c>
      <c r="Z33" s="252">
        <f>((SUM(Z32:$AE32))*($L32+$M32))</f>
        <v>1862.1421</v>
      </c>
      <c r="AA33" s="252">
        <f>((SUM(AA32:$AE32))*($L32+$M32))</f>
        <v>1117.2852600000001</v>
      </c>
      <c r="AB33" s="252">
        <f>((SUM(AB32:$AE32))*($L32+$M32))</f>
        <v>372.42842000000002</v>
      </c>
      <c r="AC33" s="278">
        <f>((SUM(AC32:$AE32))*($L32+$M32))</f>
        <v>0</v>
      </c>
      <c r="AD33" s="278">
        <f>((SUM(AD32:$AE32))*($L32+$M32))</f>
        <v>0</v>
      </c>
      <c r="AE33" s="278">
        <f>((SUM(AE32:$AE32))*($L32+$M32))</f>
        <v>0</v>
      </c>
      <c r="AF33" s="253">
        <f t="shared" si="0"/>
        <v>9310.6100499999993</v>
      </c>
      <c r="AG33" s="236"/>
      <c r="AH33" s="236"/>
    </row>
    <row r="34" spans="1:120" s="237" customFormat="1" x14ac:dyDescent="0.2">
      <c r="A34" s="216">
        <v>10</v>
      </c>
      <c r="B34" s="217" t="s">
        <v>724</v>
      </c>
      <c r="C34" s="218" t="s">
        <v>725</v>
      </c>
      <c r="D34" s="270" t="s">
        <v>726</v>
      </c>
      <c r="E34" s="312" t="str">
        <f>F34</f>
        <v>10.10.2018.</v>
      </c>
      <c r="F34" s="315" t="s">
        <v>727</v>
      </c>
      <c r="G34" s="272" t="s">
        <v>728</v>
      </c>
      <c r="H34" s="222"/>
      <c r="I34" s="223">
        <f>389405-1272.49</f>
        <v>388132.51</v>
      </c>
      <c r="J34" s="222"/>
      <c r="K34" s="224">
        <f>J34/0.702804</f>
        <v>0</v>
      </c>
      <c r="L34" s="326">
        <f>0.101%+L7</f>
        <v>1.7590000000000001E-2</v>
      </c>
      <c r="M34" s="226">
        <f>M7</f>
        <v>2.5000000000000001E-3</v>
      </c>
      <c r="N34" s="227">
        <v>4</v>
      </c>
      <c r="O34" s="228"/>
      <c r="P34" s="229">
        <v>0</v>
      </c>
      <c r="Q34" s="230"/>
      <c r="R34" s="231"/>
      <c r="S34" s="232" t="s">
        <v>660</v>
      </c>
      <c r="T34" s="233">
        <v>340950</v>
      </c>
      <c r="U34" s="336">
        <v>38948.58</v>
      </c>
      <c r="V34" s="234">
        <v>125098.51</v>
      </c>
      <c r="W34" s="234">
        <v>38968</v>
      </c>
      <c r="X34" s="234">
        <v>38968</v>
      </c>
      <c r="Y34" s="234">
        <v>38968</v>
      </c>
      <c r="Z34" s="234">
        <v>38968</v>
      </c>
      <c r="AA34" s="234">
        <v>38968</v>
      </c>
      <c r="AB34" s="234">
        <v>38968</v>
      </c>
      <c r="AC34" s="234">
        <v>29226</v>
      </c>
      <c r="AD34" s="273">
        <v>0</v>
      </c>
      <c r="AE34" s="273">
        <v>0</v>
      </c>
      <c r="AF34" s="235">
        <f t="shared" si="0"/>
        <v>224066</v>
      </c>
      <c r="AG34" s="236"/>
      <c r="AH34" s="236"/>
    </row>
    <row r="35" spans="1:120" s="254" customFormat="1" ht="15" thickBot="1" x14ac:dyDescent="0.35">
      <c r="A35" s="238"/>
      <c r="B35" s="239"/>
      <c r="C35" s="240"/>
      <c r="D35" s="240"/>
      <c r="E35" s="241"/>
      <c r="F35" s="242"/>
      <c r="G35" s="243"/>
      <c r="H35" s="244"/>
      <c r="I35" s="275"/>
      <c r="J35" s="276"/>
      <c r="K35" s="277"/>
      <c r="L35" s="240"/>
      <c r="M35" s="240"/>
      <c r="N35" s="240"/>
      <c r="O35" s="247"/>
      <c r="P35" s="246"/>
      <c r="Q35" s="268"/>
      <c r="R35" s="269"/>
      <c r="S35" s="250" t="s">
        <v>662</v>
      </c>
      <c r="T35" s="251"/>
      <c r="U35" s="252">
        <f>((SUM(U34:$AE34))*($L34+$M34))</f>
        <v>8580.0590980999987</v>
      </c>
      <c r="V35" s="252">
        <f>((SUM(V34:$AE34))*($L34+$M34))</f>
        <v>7797.5821259000004</v>
      </c>
      <c r="W35" s="252">
        <f>((SUM(W34:$AE34))*($L34+$M34))</f>
        <v>5284.3530600000004</v>
      </c>
      <c r="X35" s="252">
        <f>((SUM(X34:$AE34))*($L34+$M34))</f>
        <v>4501.4859400000005</v>
      </c>
      <c r="Y35" s="252">
        <f>((SUM(Y34:$AE34))*($L34+$M34))</f>
        <v>3718.6188200000001</v>
      </c>
      <c r="Z35" s="252">
        <f>((SUM(Z34:$AE34))*($L34+$M34))</f>
        <v>2935.7517000000003</v>
      </c>
      <c r="AA35" s="252">
        <f>((SUM(AA34:$AE34))*($L34+$M34))</f>
        <v>2152.8845799999999</v>
      </c>
      <c r="AB35" s="252">
        <f>((SUM(AB34:$AE34))*($L34+$M34))</f>
        <v>1370.01746</v>
      </c>
      <c r="AC35" s="252">
        <f>((SUM(AC34:$AE34))*($L34+$M34))</f>
        <v>587.15034000000003</v>
      </c>
      <c r="AD35" s="278">
        <f>((SUM(AD34:$AE34))*($L34+$M34))</f>
        <v>0</v>
      </c>
      <c r="AE35" s="278">
        <f>((SUM(AE34:$AE34))*($L34+$M34))</f>
        <v>0</v>
      </c>
      <c r="AF35" s="253">
        <f t="shared" si="0"/>
        <v>15265.90884</v>
      </c>
      <c r="AG35" s="236"/>
      <c r="AH35" s="236"/>
    </row>
    <row r="36" spans="1:120" s="237" customFormat="1" x14ac:dyDescent="0.2">
      <c r="A36" s="216">
        <v>11</v>
      </c>
      <c r="B36" s="217" t="s">
        <v>729</v>
      </c>
      <c r="C36" s="218" t="s">
        <v>730</v>
      </c>
      <c r="D36" s="270" t="s">
        <v>731</v>
      </c>
      <c r="E36" s="312"/>
      <c r="F36" s="337">
        <v>44020</v>
      </c>
      <c r="G36" s="272">
        <v>49480</v>
      </c>
      <c r="H36" s="222"/>
      <c r="I36" s="223">
        <f>1290674+120109</f>
        <v>1410783</v>
      </c>
      <c r="J36" s="222"/>
      <c r="K36" s="224">
        <f>J36/0.702804</f>
        <v>0</v>
      </c>
      <c r="L36" s="326">
        <f>0.101%+L7</f>
        <v>1.7590000000000001E-2</v>
      </c>
      <c r="M36" s="226">
        <v>2.5000000000000001E-3</v>
      </c>
      <c r="N36" s="227">
        <v>4</v>
      </c>
      <c r="O36" s="228"/>
      <c r="P36" s="229">
        <v>0</v>
      </c>
      <c r="Q36" s="230"/>
      <c r="R36" s="231"/>
      <c r="S36" s="232" t="s">
        <v>660</v>
      </c>
      <c r="T36" s="234"/>
      <c r="U36" s="234"/>
      <c r="V36" s="234">
        <v>218949</v>
      </c>
      <c r="W36" s="234">
        <v>88284</v>
      </c>
      <c r="X36" s="234">
        <v>88284</v>
      </c>
      <c r="Y36" s="234">
        <v>88284</v>
      </c>
      <c r="Z36" s="234">
        <v>88284</v>
      </c>
      <c r="AA36" s="234">
        <v>88284</v>
      </c>
      <c r="AB36" s="234">
        <v>88284</v>
      </c>
      <c r="AC36" s="234">
        <v>88284</v>
      </c>
      <c r="AD36" s="234">
        <v>88284</v>
      </c>
      <c r="AE36" s="234">
        <v>485562</v>
      </c>
      <c r="AF36" s="235">
        <f t="shared" si="0"/>
        <v>1103550</v>
      </c>
      <c r="AG36" s="236"/>
      <c r="AH36" s="236"/>
    </row>
    <row r="37" spans="1:120" s="254" customFormat="1" ht="15" thickBot="1" x14ac:dyDescent="0.35">
      <c r="A37" s="238"/>
      <c r="B37" s="239"/>
      <c r="C37" s="240"/>
      <c r="D37" s="240"/>
      <c r="E37" s="242"/>
      <c r="F37" s="242"/>
      <c r="G37" s="243"/>
      <c r="H37" s="244"/>
      <c r="I37" s="275"/>
      <c r="J37" s="276"/>
      <c r="K37" s="277"/>
      <c r="L37" s="240"/>
      <c r="M37" s="240"/>
      <c r="N37" s="240"/>
      <c r="O37" s="247"/>
      <c r="P37" s="246"/>
      <c r="Q37" s="268"/>
      <c r="R37" s="269"/>
      <c r="S37" s="250" t="s">
        <v>662</v>
      </c>
      <c r="T37" s="332"/>
      <c r="U37" s="332"/>
      <c r="V37" s="252">
        <f>((SUM(V36:$AE36))*($L36+$M36))</f>
        <v>28342.63047</v>
      </c>
      <c r="W37" s="252">
        <f>((SUM(W36:$AE36))*($L36+$M36))</f>
        <v>23943.945060000002</v>
      </c>
      <c r="X37" s="252">
        <f>((SUM(X36:$AE36))*($L36+$M36))</f>
        <v>22170.319500000001</v>
      </c>
      <c r="Y37" s="252">
        <f>((SUM(Y36:$AE36))*($L36+$M36))</f>
        <v>20396.693940000001</v>
      </c>
      <c r="Z37" s="252">
        <f>((SUM(Z36:$AE36))*($L36+$M36))</f>
        <v>18623.068380000001</v>
      </c>
      <c r="AA37" s="252">
        <f>((SUM(AA36:$AE36))*($L36+$M36))</f>
        <v>16849.44282</v>
      </c>
      <c r="AB37" s="252">
        <f>((SUM(AB36:$AE36))*($L36+$M36))</f>
        <v>15075.81726</v>
      </c>
      <c r="AC37" s="252">
        <f>((SUM(AC36:$AE36))*($L36+$M36))</f>
        <v>13302.191699999999</v>
      </c>
      <c r="AD37" s="252">
        <f>((SUM(AD36:$AE36))*($L36+$M36))</f>
        <v>11528.566140000001</v>
      </c>
      <c r="AE37" s="252">
        <f>((SUM(AE36:$AE36))*($L36+$M36))*4.5</f>
        <v>43897.232609999999</v>
      </c>
      <c r="AF37" s="253">
        <f t="shared" si="0"/>
        <v>161843.33234999998</v>
      </c>
      <c r="AG37" s="236"/>
      <c r="AH37" s="236"/>
    </row>
    <row r="38" spans="1:120" s="237" customFormat="1" hidden="1" outlineLevel="1" x14ac:dyDescent="0.2">
      <c r="A38" s="216" t="s">
        <v>240</v>
      </c>
      <c r="B38" s="217" t="s">
        <v>732</v>
      </c>
      <c r="C38" s="218" t="s">
        <v>733</v>
      </c>
      <c r="D38" s="270" t="s">
        <v>734</v>
      </c>
      <c r="E38" s="312" t="s">
        <v>735</v>
      </c>
      <c r="F38" s="315" t="s">
        <v>735</v>
      </c>
      <c r="G38" s="272" t="s">
        <v>736</v>
      </c>
      <c r="H38" s="222"/>
      <c r="I38" s="223">
        <v>20933</v>
      </c>
      <c r="J38" s="222"/>
      <c r="K38" s="224">
        <f>J38/0.702804</f>
        <v>0</v>
      </c>
      <c r="L38" s="326">
        <f>0.101%+L7</f>
        <v>1.7590000000000001E-2</v>
      </c>
      <c r="M38" s="226">
        <v>2.5000000000000001E-3</v>
      </c>
      <c r="N38" s="227">
        <v>4</v>
      </c>
      <c r="O38" s="228"/>
      <c r="P38" s="229">
        <v>0</v>
      </c>
      <c r="Q38" s="230"/>
      <c r="R38" s="231"/>
      <c r="S38" s="232" t="s">
        <v>660</v>
      </c>
      <c r="T38" s="233">
        <v>11630</v>
      </c>
      <c r="U38" s="234">
        <v>4652</v>
      </c>
      <c r="V38" s="234">
        <v>4652</v>
      </c>
      <c r="W38" s="234">
        <v>2326</v>
      </c>
      <c r="X38" s="273">
        <v>0</v>
      </c>
      <c r="Y38" s="273">
        <v>0</v>
      </c>
      <c r="Z38" s="273">
        <v>0</v>
      </c>
      <c r="AA38" s="273">
        <v>0</v>
      </c>
      <c r="AB38" s="273">
        <v>0</v>
      </c>
      <c r="AC38" s="273">
        <v>0</v>
      </c>
      <c r="AD38" s="273">
        <v>0</v>
      </c>
      <c r="AE38" s="273">
        <v>0</v>
      </c>
      <c r="AF38" s="274">
        <f t="shared" si="0"/>
        <v>0</v>
      </c>
      <c r="AG38" s="236"/>
      <c r="AH38" s="236"/>
    </row>
    <row r="39" spans="1:120" s="346" customFormat="1" ht="15" hidden="1" outlineLevel="1" thickBot="1" x14ac:dyDescent="0.35">
      <c r="A39" s="238"/>
      <c r="B39" s="239" t="s">
        <v>737</v>
      </c>
      <c r="C39" s="240"/>
      <c r="D39" s="240"/>
      <c r="E39" s="242"/>
      <c r="F39" s="242"/>
      <c r="G39" s="243"/>
      <c r="H39" s="244"/>
      <c r="I39" s="275"/>
      <c r="J39" s="338"/>
      <c r="K39" s="339"/>
      <c r="L39" s="340"/>
      <c r="M39" s="340"/>
      <c r="N39" s="340"/>
      <c r="O39" s="341"/>
      <c r="P39" s="342"/>
      <c r="Q39" s="343"/>
      <c r="R39" s="344"/>
      <c r="S39" s="250" t="s">
        <v>662</v>
      </c>
      <c r="T39" s="251"/>
      <c r="U39" s="252">
        <f>((SUM(U38:$AE38))*($L38+$M38))</f>
        <v>233.64670000000001</v>
      </c>
      <c r="V39" s="252">
        <f>((SUM(V38:$AE38))*($L38+$M38))</f>
        <v>140.18801999999999</v>
      </c>
      <c r="W39" s="252">
        <f>((SUM(W38:$AE38))*($L38+$M38))</f>
        <v>46.729340000000001</v>
      </c>
      <c r="X39" s="278">
        <f>((SUM(X38:$AE38))*($L38+$M38))</f>
        <v>0</v>
      </c>
      <c r="Y39" s="278">
        <f>((SUM(Y38:$AE38))*($L38+$M38))</f>
        <v>0</v>
      </c>
      <c r="Z39" s="278">
        <f>((SUM(Z38:$AE38))*($L38+$M38))</f>
        <v>0</v>
      </c>
      <c r="AA39" s="278">
        <f>((SUM(AA38:$AE38))*($L38+$M38))</f>
        <v>0</v>
      </c>
      <c r="AB39" s="278">
        <f>((SUM(AB38:$AE38))*($L38+$M38))</f>
        <v>0</v>
      </c>
      <c r="AC39" s="278">
        <f>((SUM(AC38:$AE38))*($L38+$M38))</f>
        <v>0</v>
      </c>
      <c r="AD39" s="278">
        <f>((SUM(AD38:$AE38))*($L38+$M38))</f>
        <v>0</v>
      </c>
      <c r="AE39" s="278">
        <f>((SUM(AE38:$AE38))*($L38+$M38))</f>
        <v>0</v>
      </c>
      <c r="AF39" s="345">
        <f t="shared" si="0"/>
        <v>0</v>
      </c>
      <c r="AG39" s="236"/>
      <c r="AH39" s="236"/>
    </row>
    <row r="40" spans="1:120" s="237" customFormat="1" collapsed="1" x14ac:dyDescent="0.2">
      <c r="A40" s="216" t="s">
        <v>248</v>
      </c>
      <c r="B40" s="217" t="s">
        <v>732</v>
      </c>
      <c r="C40" s="218" t="s">
        <v>738</v>
      </c>
      <c r="D40" s="270" t="s">
        <v>739</v>
      </c>
      <c r="E40" s="312"/>
      <c r="F40" s="315" t="s">
        <v>740</v>
      </c>
      <c r="G40" s="272" t="s">
        <v>741</v>
      </c>
      <c r="H40" s="222"/>
      <c r="I40" s="223">
        <v>531484</v>
      </c>
      <c r="J40" s="222"/>
      <c r="K40" s="224"/>
      <c r="L40" s="326">
        <f>0.101%+L7</f>
        <v>1.7590000000000001E-2</v>
      </c>
      <c r="M40" s="226">
        <v>2.5000000000000001E-3</v>
      </c>
      <c r="N40" s="227">
        <v>4</v>
      </c>
      <c r="O40" s="228"/>
      <c r="P40" s="229"/>
      <c r="Q40" s="230"/>
      <c r="R40" s="231"/>
      <c r="S40" s="232" t="s">
        <v>660</v>
      </c>
      <c r="T40" s="233">
        <v>519616</v>
      </c>
      <c r="U40" s="234">
        <v>27464</v>
      </c>
      <c r="V40" s="234">
        <v>36656</v>
      </c>
      <c r="W40" s="234">
        <v>36656</v>
      </c>
      <c r="X40" s="234">
        <v>36656</v>
      </c>
      <c r="Y40" s="234">
        <v>36656</v>
      </c>
      <c r="Z40" s="234">
        <v>36656</v>
      </c>
      <c r="AA40" s="234">
        <v>36656</v>
      </c>
      <c r="AB40" s="234">
        <v>36656</v>
      </c>
      <c r="AC40" s="234">
        <v>36656</v>
      </c>
      <c r="AD40" s="234">
        <v>36656</v>
      </c>
      <c r="AE40" s="234">
        <v>162248</v>
      </c>
      <c r="AF40" s="235">
        <f t="shared" si="0"/>
        <v>418840</v>
      </c>
      <c r="AG40" s="236"/>
      <c r="AH40" s="236"/>
    </row>
    <row r="41" spans="1:120" s="254" customFormat="1" ht="15" thickBot="1" x14ac:dyDescent="0.35">
      <c r="A41" s="238"/>
      <c r="B41" s="239" t="s">
        <v>742</v>
      </c>
      <c r="C41" s="240"/>
      <c r="D41" s="240"/>
      <c r="E41" s="242"/>
      <c r="F41" s="242"/>
      <c r="G41" s="243"/>
      <c r="H41" s="244"/>
      <c r="I41" s="275"/>
      <c r="J41" s="276"/>
      <c r="K41" s="277"/>
      <c r="L41" s="240"/>
      <c r="M41" s="240"/>
      <c r="N41" s="240"/>
      <c r="O41" s="247"/>
      <c r="P41" s="246"/>
      <c r="Q41" s="268"/>
      <c r="R41" s="269"/>
      <c r="S41" s="250" t="s">
        <v>662</v>
      </c>
      <c r="T41" s="251"/>
      <c r="U41" s="252">
        <f>((SUM(U40:$AE40))*($L40+$M40))</f>
        <v>10439.085440000001</v>
      </c>
      <c r="V41" s="252">
        <f>((SUM(V40:$AE40))*($L40+$M40))</f>
        <v>9887.3336799999997</v>
      </c>
      <c r="W41" s="252">
        <f>((SUM(W40:$AE40))*($L40+$M40))</f>
        <v>9150.9146400000009</v>
      </c>
      <c r="X41" s="252">
        <f>((SUM(X40:$AE40))*($L40+$M40))</f>
        <v>8414.4956000000002</v>
      </c>
      <c r="Y41" s="252">
        <f>((SUM(Y40:$AE40))*($L40+$M40))</f>
        <v>7678.0765600000004</v>
      </c>
      <c r="Z41" s="252">
        <f>((SUM(Z40:$AE40))*($L40+$M40))</f>
        <v>6941.6575199999997</v>
      </c>
      <c r="AA41" s="252">
        <f>((SUM(AA40:$AE40))*($L40+$M40))</f>
        <v>6205.23848</v>
      </c>
      <c r="AB41" s="252">
        <f>((SUM(AB40:$AE40))*($L40+$M40))</f>
        <v>5468.8194400000002</v>
      </c>
      <c r="AC41" s="252">
        <f>((SUM(AC40:$AE40))*($L40+$M40))</f>
        <v>4732.4004000000004</v>
      </c>
      <c r="AD41" s="252">
        <f>((SUM(AD40:$AE40))*($L40+$M40))</f>
        <v>3995.9813600000002</v>
      </c>
      <c r="AE41" s="252">
        <f>((SUM(AE40:$AE40))*($L40+$M40))*4</f>
        <v>13038.24928</v>
      </c>
      <c r="AF41" s="253">
        <f t="shared" si="0"/>
        <v>56474.918640000004</v>
      </c>
      <c r="AG41" s="236"/>
      <c r="AH41" s="236"/>
    </row>
    <row r="42" spans="1:120" s="237" customFormat="1" ht="13.2" hidden="1" customHeight="1" outlineLevel="1" x14ac:dyDescent="0.2">
      <c r="A42" s="216">
        <v>12</v>
      </c>
      <c r="B42" s="217" t="s">
        <v>743</v>
      </c>
      <c r="C42" s="218" t="s">
        <v>744</v>
      </c>
      <c r="D42" s="270" t="s">
        <v>745</v>
      </c>
      <c r="E42" s="312" t="s">
        <v>746</v>
      </c>
      <c r="F42" s="312" t="s">
        <v>746</v>
      </c>
      <c r="G42" s="272" t="s">
        <v>747</v>
      </c>
      <c r="H42" s="222"/>
      <c r="I42" s="223">
        <v>145533</v>
      </c>
      <c r="J42" s="222"/>
      <c r="K42" s="224">
        <f>J42/0.702804</f>
        <v>0</v>
      </c>
      <c r="L42" s="326">
        <f>0.101%+L7</f>
        <v>1.7590000000000001E-2</v>
      </c>
      <c r="M42" s="226">
        <v>2.5000000000000001E-3</v>
      </c>
      <c r="N42" s="227">
        <v>4</v>
      </c>
      <c r="O42" s="228"/>
      <c r="P42" s="229">
        <v>0</v>
      </c>
      <c r="Q42" s="230"/>
      <c r="R42" s="231"/>
      <c r="S42" s="232" t="s">
        <v>660</v>
      </c>
      <c r="T42" s="233">
        <v>0</v>
      </c>
      <c r="U42" s="234"/>
      <c r="V42" s="273">
        <v>0</v>
      </c>
      <c r="W42" s="273">
        <v>0</v>
      </c>
      <c r="X42" s="273">
        <v>0</v>
      </c>
      <c r="Y42" s="273">
        <v>0</v>
      </c>
      <c r="Z42" s="273">
        <v>0</v>
      </c>
      <c r="AA42" s="273">
        <v>0</v>
      </c>
      <c r="AB42" s="273">
        <v>0</v>
      </c>
      <c r="AC42" s="273">
        <v>0</v>
      </c>
      <c r="AD42" s="273">
        <v>0</v>
      </c>
      <c r="AE42" s="273">
        <v>0</v>
      </c>
      <c r="AF42" s="274">
        <f t="shared" ref="AF42:AF75" si="1">SUM(X42:AE42)</f>
        <v>0</v>
      </c>
      <c r="AG42" s="236"/>
      <c r="AH42" s="236"/>
    </row>
    <row r="43" spans="1:120" s="254" customFormat="1" ht="15" hidden="1" customHeight="1" outlineLevel="1" thickBot="1" x14ac:dyDescent="0.35">
      <c r="A43" s="238"/>
      <c r="B43" s="239"/>
      <c r="C43" s="240"/>
      <c r="D43" s="240"/>
      <c r="E43" s="242"/>
      <c r="F43" s="242"/>
      <c r="G43" s="243"/>
      <c r="H43" s="244"/>
      <c r="I43" s="275"/>
      <c r="J43" s="276"/>
      <c r="K43" s="277"/>
      <c r="L43" s="240"/>
      <c r="M43" s="240"/>
      <c r="N43" s="240"/>
      <c r="O43" s="247"/>
      <c r="P43" s="246"/>
      <c r="Q43" s="268"/>
      <c r="R43" s="269"/>
      <c r="S43" s="250" t="s">
        <v>662</v>
      </c>
      <c r="T43" s="251"/>
      <c r="U43" s="332"/>
      <c r="V43" s="278">
        <v>0</v>
      </c>
      <c r="W43" s="278">
        <v>0</v>
      </c>
      <c r="X43" s="278">
        <v>0</v>
      </c>
      <c r="Y43" s="278">
        <v>0</v>
      </c>
      <c r="Z43" s="278">
        <v>0</v>
      </c>
      <c r="AA43" s="278">
        <v>0</v>
      </c>
      <c r="AB43" s="278">
        <v>0</v>
      </c>
      <c r="AC43" s="278">
        <v>0</v>
      </c>
      <c r="AD43" s="278">
        <v>0</v>
      </c>
      <c r="AE43" s="278">
        <v>0</v>
      </c>
      <c r="AF43" s="345">
        <f t="shared" si="1"/>
        <v>0</v>
      </c>
      <c r="AG43" s="236"/>
      <c r="AH43" s="236"/>
    </row>
    <row r="44" spans="1:120" s="237" customFormat="1" hidden="1" outlineLevel="1" x14ac:dyDescent="0.2">
      <c r="A44" s="216" t="s">
        <v>281</v>
      </c>
      <c r="B44" s="217" t="s">
        <v>748</v>
      </c>
      <c r="C44" s="218" t="s">
        <v>749</v>
      </c>
      <c r="D44" s="270" t="s">
        <v>750</v>
      </c>
      <c r="E44" s="312" t="s">
        <v>694</v>
      </c>
      <c r="F44" s="312" t="s">
        <v>694</v>
      </c>
      <c r="G44" s="272" t="s">
        <v>705</v>
      </c>
      <c r="H44" s="222"/>
      <c r="I44" s="223">
        <v>109384</v>
      </c>
      <c r="J44" s="222"/>
      <c r="K44" s="224">
        <f>J44/0.702804</f>
        <v>0</v>
      </c>
      <c r="L44" s="326">
        <f>0.101%+L7</f>
        <v>1.7590000000000001E-2</v>
      </c>
      <c r="M44" s="226">
        <v>2.5000000000000001E-3</v>
      </c>
      <c r="N44" s="227">
        <v>4</v>
      </c>
      <c r="O44" s="228"/>
      <c r="P44" s="229">
        <v>0</v>
      </c>
      <c r="Q44" s="230"/>
      <c r="R44" s="231"/>
      <c r="S44" s="232" t="s">
        <v>660</v>
      </c>
      <c r="T44" s="233">
        <v>68651</v>
      </c>
      <c r="U44" s="234">
        <v>24964</v>
      </c>
      <c r="V44" s="234">
        <v>24964</v>
      </c>
      <c r="W44" s="234">
        <v>18723</v>
      </c>
      <c r="X44" s="273">
        <v>0</v>
      </c>
      <c r="Y44" s="273">
        <v>0</v>
      </c>
      <c r="Z44" s="273">
        <v>0</v>
      </c>
      <c r="AA44" s="273">
        <v>0</v>
      </c>
      <c r="AB44" s="273">
        <v>0</v>
      </c>
      <c r="AC44" s="273">
        <v>0</v>
      </c>
      <c r="AD44" s="273">
        <v>0</v>
      </c>
      <c r="AE44" s="273">
        <v>0</v>
      </c>
      <c r="AF44" s="274">
        <f t="shared" si="1"/>
        <v>0</v>
      </c>
      <c r="AG44" s="236"/>
      <c r="AH44" s="236"/>
    </row>
    <row r="45" spans="1:120" s="346" customFormat="1" ht="15" hidden="1" outlineLevel="1" thickBot="1" x14ac:dyDescent="0.35">
      <c r="A45" s="238"/>
      <c r="B45" s="239" t="s">
        <v>751</v>
      </c>
      <c r="C45" s="347" t="s">
        <v>752</v>
      </c>
      <c r="D45" s="240"/>
      <c r="E45" s="242"/>
      <c r="F45" s="242"/>
      <c r="G45" s="243"/>
      <c r="H45" s="244"/>
      <c r="I45" s="275"/>
      <c r="J45" s="338"/>
      <c r="K45" s="339"/>
      <c r="L45" s="340"/>
      <c r="M45" s="340"/>
      <c r="N45" s="340"/>
      <c r="O45" s="341"/>
      <c r="P45" s="342"/>
      <c r="Q45" s="343"/>
      <c r="R45" s="344"/>
      <c r="S45" s="250" t="s">
        <v>662</v>
      </c>
      <c r="T45" s="251"/>
      <c r="U45" s="252">
        <f>((SUM(U44:$AE44))*($L44+$M44))</f>
        <v>1379.19859</v>
      </c>
      <c r="V45" s="252">
        <f>((SUM(V44:$AE44))*($L44+$M44))</f>
        <v>877.67183</v>
      </c>
      <c r="W45" s="252">
        <f>((SUM(W44:$AE44))*($L44+$M44))</f>
        <v>376.14507000000003</v>
      </c>
      <c r="X45" s="278">
        <f>((SUM(X44:$AE44))*($L44+$M44))</f>
        <v>0</v>
      </c>
      <c r="Y45" s="278">
        <f>((SUM(Y44:$AE44))*($L44+$M44))</f>
        <v>0</v>
      </c>
      <c r="Z45" s="278">
        <f>((SUM(Z44:$AE44))*($L44+$M44))</f>
        <v>0</v>
      </c>
      <c r="AA45" s="278">
        <f>((SUM(AA44:$AE44))*($L44+$M44))</f>
        <v>0</v>
      </c>
      <c r="AB45" s="278">
        <f>((SUM(AB44:$AE44))*($L44+$M44))</f>
        <v>0</v>
      </c>
      <c r="AC45" s="278">
        <f>((SUM(AC44:$AE44))*($L44+$M44))</f>
        <v>0</v>
      </c>
      <c r="AD45" s="278">
        <f>((SUM(AD44:$AE44))*($L44+$M44))</f>
        <v>0</v>
      </c>
      <c r="AE45" s="278">
        <f>((SUM(AE44:$AE44))*($L44+$M44))</f>
        <v>0</v>
      </c>
      <c r="AF45" s="345">
        <f t="shared" si="1"/>
        <v>0</v>
      </c>
      <c r="AG45" s="236"/>
      <c r="AH45" s="236"/>
    </row>
    <row r="46" spans="1:120" s="237" customFormat="1" hidden="1" outlineLevel="1" x14ac:dyDescent="0.2">
      <c r="A46" s="216" t="s">
        <v>283</v>
      </c>
      <c r="B46" s="217" t="s">
        <v>748</v>
      </c>
      <c r="C46" s="218" t="s">
        <v>753</v>
      </c>
      <c r="D46" s="270" t="s">
        <v>754</v>
      </c>
      <c r="E46" s="312"/>
      <c r="F46" s="315" t="s">
        <v>755</v>
      </c>
      <c r="G46" s="272" t="s">
        <v>756</v>
      </c>
      <c r="H46" s="222"/>
      <c r="I46" s="223">
        <v>179713</v>
      </c>
      <c r="J46" s="222"/>
      <c r="K46" s="224"/>
      <c r="L46" s="326">
        <f>0.101%+L7</f>
        <v>1.7590000000000001E-2</v>
      </c>
      <c r="M46" s="226">
        <v>2.5000000000000001E-3</v>
      </c>
      <c r="N46" s="227">
        <v>4</v>
      </c>
      <c r="O46" s="228"/>
      <c r="P46" s="229"/>
      <c r="Q46" s="230"/>
      <c r="R46" s="231"/>
      <c r="S46" s="264" t="s">
        <v>660</v>
      </c>
      <c r="T46" s="233">
        <v>157328</v>
      </c>
      <c r="U46" s="234">
        <v>23146</v>
      </c>
      <c r="V46" s="234">
        <v>92652</v>
      </c>
      <c r="W46" s="234">
        <v>63915</v>
      </c>
      <c r="X46" s="273">
        <v>0</v>
      </c>
      <c r="Y46" s="273">
        <v>0</v>
      </c>
      <c r="Z46" s="273">
        <v>0</v>
      </c>
      <c r="AA46" s="273">
        <v>0</v>
      </c>
      <c r="AB46" s="273">
        <v>0</v>
      </c>
      <c r="AC46" s="273">
        <v>0</v>
      </c>
      <c r="AD46" s="273">
        <v>0</v>
      </c>
      <c r="AE46" s="273">
        <v>0</v>
      </c>
      <c r="AF46" s="274">
        <f t="shared" si="1"/>
        <v>0</v>
      </c>
      <c r="AG46" s="236"/>
      <c r="AH46" s="236"/>
    </row>
    <row r="47" spans="1:120" s="254" customFormat="1" ht="15" hidden="1" outlineLevel="1" thickBot="1" x14ac:dyDescent="0.35">
      <c r="A47" s="238"/>
      <c r="B47" s="239" t="s">
        <v>757</v>
      </c>
      <c r="C47" s="240"/>
      <c r="D47" s="240"/>
      <c r="E47" s="242"/>
      <c r="F47" s="242"/>
      <c r="G47" s="243"/>
      <c r="H47" s="244"/>
      <c r="I47" s="275"/>
      <c r="J47" s="276"/>
      <c r="K47" s="277"/>
      <c r="L47" s="240"/>
      <c r="M47" s="240"/>
      <c r="N47" s="240"/>
      <c r="O47" s="247"/>
      <c r="P47" s="246"/>
      <c r="Q47" s="268"/>
      <c r="R47" s="269"/>
      <c r="S47" s="250" t="s">
        <v>662</v>
      </c>
      <c r="T47" s="332"/>
      <c r="U47" s="252">
        <f>((SUM(U46:$AE46))*($L46+$M46))</f>
        <v>3610.43417</v>
      </c>
      <c r="V47" s="252">
        <f>((SUM(V46:$AE46))*($L46+$M46))</f>
        <v>3145.4310300000002</v>
      </c>
      <c r="W47" s="252">
        <f>((SUM(W46:$AE46))*($L46+$M46))</f>
        <v>1284.0523499999999</v>
      </c>
      <c r="X47" s="278">
        <f>((SUM(X46:$AE46))*($L46+$M46))</f>
        <v>0</v>
      </c>
      <c r="Y47" s="278">
        <f>((SUM(Y46:$AE46))*($L46+$M46))</f>
        <v>0</v>
      </c>
      <c r="Z47" s="278">
        <f>((SUM(Z46:$AE46))*($L46+$M46))</f>
        <v>0</v>
      </c>
      <c r="AA47" s="278">
        <f>((SUM(AA46:$AE46))*($L46+$M46))</f>
        <v>0</v>
      </c>
      <c r="AB47" s="278">
        <f>((SUM(AB46:$AE46))*($L46+$M46))</f>
        <v>0</v>
      </c>
      <c r="AC47" s="278">
        <f>((SUM(AC46:$AE46))*($L46+$M46))</f>
        <v>0</v>
      </c>
      <c r="AD47" s="278">
        <f>((SUM(AD46:$AE46))*($L46+$M46))</f>
        <v>0</v>
      </c>
      <c r="AE47" s="278">
        <f>((SUM(AE46:$AE46))*($L46+$M46))</f>
        <v>0</v>
      </c>
      <c r="AF47" s="345">
        <f t="shared" si="1"/>
        <v>0</v>
      </c>
      <c r="AG47" s="236"/>
      <c r="AH47" s="236"/>
    </row>
    <row r="48" spans="1:120" s="348" customFormat="1" collapsed="1" x14ac:dyDescent="0.2">
      <c r="A48" s="216" t="s">
        <v>758</v>
      </c>
      <c r="B48" s="217" t="s">
        <v>748</v>
      </c>
      <c r="C48" s="218" t="s">
        <v>759</v>
      </c>
      <c r="D48" s="270" t="s">
        <v>760</v>
      </c>
      <c r="E48" s="312"/>
      <c r="F48" s="315" t="s">
        <v>761</v>
      </c>
      <c r="G48" s="272" t="s">
        <v>762</v>
      </c>
      <c r="H48" s="222"/>
      <c r="I48" s="223">
        <v>1230506</v>
      </c>
      <c r="J48" s="222"/>
      <c r="K48" s="224"/>
      <c r="L48" s="326">
        <f>0.101%+$L$7</f>
        <v>1.7590000000000001E-2</v>
      </c>
      <c r="M48" s="226">
        <v>2.5000000000000001E-3</v>
      </c>
      <c r="N48" s="227">
        <v>4</v>
      </c>
      <c r="O48" s="228"/>
      <c r="P48" s="229"/>
      <c r="Q48" s="230"/>
      <c r="R48" s="231"/>
      <c r="S48" s="264" t="s">
        <v>660</v>
      </c>
      <c r="T48" s="233">
        <v>157328</v>
      </c>
      <c r="U48" s="234">
        <v>23146</v>
      </c>
      <c r="V48" s="234">
        <v>0</v>
      </c>
      <c r="W48" s="234">
        <v>20000</v>
      </c>
      <c r="X48" s="234">
        <v>64754</v>
      </c>
      <c r="Y48" s="234">
        <v>86352</v>
      </c>
      <c r="Z48" s="234">
        <v>86352</v>
      </c>
      <c r="AA48" s="234">
        <v>86352</v>
      </c>
      <c r="AB48" s="234">
        <v>86352</v>
      </c>
      <c r="AC48" s="234">
        <v>86352</v>
      </c>
      <c r="AD48" s="234">
        <v>86352</v>
      </c>
      <c r="AE48" s="234">
        <f>-SUM(W48:AD48)+I48</f>
        <v>627640</v>
      </c>
      <c r="AF48" s="235">
        <f t="shared" si="1"/>
        <v>1210506</v>
      </c>
      <c r="AG48" s="236"/>
      <c r="AH48" s="236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7"/>
      <c r="BR48" s="237"/>
      <c r="BS48" s="237"/>
      <c r="BT48" s="237"/>
      <c r="BU48" s="237"/>
      <c r="BV48" s="237"/>
      <c r="BW48" s="237"/>
      <c r="BX48" s="237"/>
      <c r="BY48" s="237"/>
      <c r="BZ48" s="237"/>
      <c r="CA48" s="237"/>
      <c r="CB48" s="237"/>
      <c r="CC48" s="237"/>
      <c r="CD48" s="237"/>
      <c r="CE48" s="237"/>
      <c r="CF48" s="237"/>
      <c r="CG48" s="237"/>
      <c r="CH48" s="237"/>
      <c r="CI48" s="237"/>
      <c r="CJ48" s="237"/>
      <c r="CK48" s="237"/>
      <c r="CL48" s="237"/>
      <c r="CM48" s="237"/>
      <c r="CN48" s="237"/>
      <c r="CO48" s="237"/>
      <c r="CP48" s="237"/>
      <c r="CQ48" s="237"/>
      <c r="CR48" s="237"/>
      <c r="CS48" s="237"/>
      <c r="CT48" s="237"/>
      <c r="CU48" s="237"/>
      <c r="CV48" s="237"/>
      <c r="CW48" s="237"/>
      <c r="CX48" s="237"/>
      <c r="CY48" s="237"/>
      <c r="CZ48" s="237"/>
      <c r="DA48" s="237"/>
      <c r="DB48" s="237"/>
      <c r="DC48" s="237"/>
      <c r="DD48" s="237"/>
      <c r="DE48" s="237"/>
      <c r="DF48" s="237"/>
      <c r="DG48" s="237"/>
      <c r="DH48" s="237"/>
      <c r="DI48" s="237"/>
      <c r="DJ48" s="237"/>
      <c r="DK48" s="237"/>
      <c r="DL48" s="237"/>
      <c r="DM48" s="237"/>
      <c r="DN48" s="237"/>
      <c r="DO48" s="237"/>
      <c r="DP48" s="237"/>
    </row>
    <row r="49" spans="1:120" s="350" customFormat="1" ht="15" thickBot="1" x14ac:dyDescent="0.35">
      <c r="A49" s="238"/>
      <c r="B49" s="239" t="s">
        <v>757</v>
      </c>
      <c r="C49" s="240"/>
      <c r="D49" s="240"/>
      <c r="E49" s="242"/>
      <c r="F49" s="242"/>
      <c r="G49" s="243"/>
      <c r="H49" s="244"/>
      <c r="I49" s="349"/>
      <c r="J49" s="276"/>
      <c r="K49" s="277"/>
      <c r="L49" s="240"/>
      <c r="M49" s="240"/>
      <c r="N49" s="240"/>
      <c r="O49" s="247"/>
      <c r="P49" s="246"/>
      <c r="Q49" s="268"/>
      <c r="R49" s="269"/>
      <c r="S49" s="250" t="s">
        <v>662</v>
      </c>
      <c r="T49" s="251"/>
      <c r="U49" s="252">
        <f>((SUM(U48:$AE48))*($L48+$M48))</f>
        <v>25185.86868</v>
      </c>
      <c r="V49" s="252">
        <f>((SUM(V48:$AE48))*($L48+$M48))</f>
        <v>24720.865539999999</v>
      </c>
      <c r="W49" s="252">
        <f>((SUM(W48:$AE48))*($L48+$M48))</f>
        <v>24720.865539999999</v>
      </c>
      <c r="X49" s="252">
        <f>((SUM(X48:$AE48))*($L48+$M48))</f>
        <v>24319.06554</v>
      </c>
      <c r="Y49" s="252">
        <f>((SUM(Y48:$AE48))*($L48+$M48))</f>
        <v>23018.15768</v>
      </c>
      <c r="Z49" s="252">
        <f>((SUM(Z48:$AE48))*($L48+$M48))</f>
        <v>21283.346000000001</v>
      </c>
      <c r="AA49" s="252">
        <f>((SUM(AA48:$AE48))*($L48+$M48))</f>
        <v>19548.534319999999</v>
      </c>
      <c r="AB49" s="252">
        <f>((SUM(AB48:$AE48))*($L48+$M48))</f>
        <v>17813.72264</v>
      </c>
      <c r="AC49" s="252">
        <f>((SUM(AC48:$AE48))*($L48+$M48))</f>
        <v>16078.910960000001</v>
      </c>
      <c r="AD49" s="252">
        <f>((SUM(AD48:$AE48))*($L48+$M48))</f>
        <v>14344.09928</v>
      </c>
      <c r="AE49" s="252">
        <f>((SUM(AE48:$AE48))*($L48+$M48))*6</f>
        <v>75655.725600000005</v>
      </c>
      <c r="AF49" s="253">
        <f t="shared" si="1"/>
        <v>212061.56202000001</v>
      </c>
      <c r="AG49" s="236"/>
      <c r="AH49" s="236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4"/>
      <c r="BW49" s="254"/>
      <c r="BX49" s="254"/>
      <c r="BY49" s="254"/>
      <c r="BZ49" s="254"/>
      <c r="CA49" s="254"/>
      <c r="CB49" s="254"/>
      <c r="CC49" s="254"/>
      <c r="CD49" s="254"/>
      <c r="CE49" s="254"/>
      <c r="CF49" s="254"/>
      <c r="CG49" s="254"/>
      <c r="CH49" s="254"/>
      <c r="CI49" s="254"/>
      <c r="CJ49" s="254"/>
      <c r="CK49" s="254"/>
      <c r="CL49" s="254"/>
      <c r="CM49" s="254"/>
      <c r="CN49" s="254"/>
      <c r="CO49" s="254"/>
      <c r="CP49" s="254"/>
      <c r="CQ49" s="254"/>
      <c r="CR49" s="254"/>
      <c r="CS49" s="254"/>
      <c r="CT49" s="254"/>
      <c r="CU49" s="254"/>
      <c r="CV49" s="254"/>
      <c r="CW49" s="254"/>
      <c r="CX49" s="254"/>
      <c r="CY49" s="254"/>
      <c r="CZ49" s="254"/>
      <c r="DA49" s="254"/>
      <c r="DB49" s="254"/>
      <c r="DC49" s="254"/>
      <c r="DD49" s="254"/>
      <c r="DE49" s="254"/>
      <c r="DF49" s="254"/>
      <c r="DG49" s="254"/>
      <c r="DH49" s="254"/>
      <c r="DI49" s="254"/>
      <c r="DJ49" s="254"/>
      <c r="DK49" s="254"/>
      <c r="DL49" s="254"/>
      <c r="DM49" s="254"/>
      <c r="DN49" s="254"/>
      <c r="DO49" s="254"/>
      <c r="DP49" s="254"/>
    </row>
    <row r="50" spans="1:120" s="350" customFormat="1" ht="25.2" customHeight="1" x14ac:dyDescent="0.3">
      <c r="A50" s="351" t="s">
        <v>763</v>
      </c>
      <c r="B50" s="352" t="s">
        <v>764</v>
      </c>
      <c r="C50" s="353" t="s">
        <v>765</v>
      </c>
      <c r="D50" s="354" t="s">
        <v>766</v>
      </c>
      <c r="E50" s="315"/>
      <c r="F50" s="315" t="s">
        <v>767</v>
      </c>
      <c r="G50" s="272" t="s">
        <v>768</v>
      </c>
      <c r="H50" s="259"/>
      <c r="I50" s="223">
        <v>292889</v>
      </c>
      <c r="J50" s="317"/>
      <c r="K50" s="277"/>
      <c r="L50" s="326">
        <f>0.101%+$L$7</f>
        <v>1.7590000000000001E-2</v>
      </c>
      <c r="M50" s="226">
        <v>2.5000000000000001E-3</v>
      </c>
      <c r="N50" s="261"/>
      <c r="O50" s="262"/>
      <c r="P50" s="263"/>
      <c r="Q50" s="318"/>
      <c r="R50" s="319"/>
      <c r="S50" s="264" t="s">
        <v>660</v>
      </c>
      <c r="T50" s="328"/>
      <c r="U50" s="355"/>
      <c r="V50" s="355"/>
      <c r="W50" s="355"/>
      <c r="X50" s="234">
        <v>10099</v>
      </c>
      <c r="Y50" s="234">
        <v>20200</v>
      </c>
      <c r="Z50" s="234">
        <v>20200</v>
      </c>
      <c r="AA50" s="234">
        <v>20200</v>
      </c>
      <c r="AB50" s="234">
        <v>20200</v>
      </c>
      <c r="AC50" s="234">
        <v>20200</v>
      </c>
      <c r="AD50" s="234">
        <v>20200</v>
      </c>
      <c r="AE50" s="234">
        <f>-SUM(X50:AD50)+I50</f>
        <v>161590</v>
      </c>
      <c r="AF50" s="235">
        <f>SUM(X50:AE50)</f>
        <v>292889</v>
      </c>
      <c r="AG50" s="236"/>
      <c r="AH50" s="236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4"/>
      <c r="CP50" s="254"/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</row>
    <row r="51" spans="1:120" s="350" customFormat="1" ht="21" thickBot="1" x14ac:dyDescent="0.35">
      <c r="A51" s="255"/>
      <c r="B51" s="356" t="s">
        <v>769</v>
      </c>
      <c r="C51" s="261"/>
      <c r="D51" s="261"/>
      <c r="E51" s="315"/>
      <c r="F51" s="242"/>
      <c r="G51" s="313"/>
      <c r="H51" s="259"/>
      <c r="I51" s="357"/>
      <c r="J51" s="317"/>
      <c r="K51" s="277"/>
      <c r="L51" s="261"/>
      <c r="M51" s="261"/>
      <c r="N51" s="261"/>
      <c r="O51" s="262"/>
      <c r="P51" s="263"/>
      <c r="Q51" s="318"/>
      <c r="R51" s="319"/>
      <c r="S51" s="250" t="s">
        <v>662</v>
      </c>
      <c r="T51" s="328"/>
      <c r="U51" s="355"/>
      <c r="V51" s="355"/>
      <c r="W51" s="355"/>
      <c r="X51" s="252">
        <f>((SUM(X50:$AE50))*($L50+$M50))</f>
        <v>5884.1400100000001</v>
      </c>
      <c r="Y51" s="252">
        <f>((SUM(Y50:$AE50))*($L50+$M50))</f>
        <v>5681.2511000000004</v>
      </c>
      <c r="Z51" s="252">
        <f>((SUM(Z50:$AE50))*($L50+$M50))</f>
        <v>5275.4331000000002</v>
      </c>
      <c r="AA51" s="252">
        <f>((SUM(AA50:$AE50))*($L50+$M50))</f>
        <v>4869.6151</v>
      </c>
      <c r="AB51" s="252">
        <f>((SUM(AB50:$AE50))*($L50+$M50))</f>
        <v>4463.7970999999998</v>
      </c>
      <c r="AC51" s="252">
        <f>((SUM(AC50:$AE50))*($L50+$M50))</f>
        <v>4057.9791</v>
      </c>
      <c r="AD51" s="252">
        <f>((SUM(AD50:$AE50))*($L50+$M50))</f>
        <v>3652.1611000000003</v>
      </c>
      <c r="AE51" s="252">
        <f>((SUM(AE50:$AE50))*($L50+$M50))*7</f>
        <v>22724.401700000002</v>
      </c>
      <c r="AF51" s="253">
        <f t="shared" si="1"/>
        <v>56608.778310000002</v>
      </c>
      <c r="AG51" s="236"/>
      <c r="AH51" s="236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4"/>
      <c r="BW51" s="254"/>
      <c r="BX51" s="254"/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4"/>
      <c r="CO51" s="254"/>
      <c r="CP51" s="254"/>
      <c r="CQ51" s="254"/>
      <c r="CR51" s="254"/>
      <c r="CS51" s="254"/>
      <c r="CT51" s="254"/>
      <c r="CU51" s="254"/>
      <c r="CV51" s="254"/>
      <c r="CW51" s="254"/>
      <c r="CX51" s="254"/>
      <c r="CY51" s="254"/>
      <c r="CZ51" s="254"/>
      <c r="DA51" s="254"/>
      <c r="DB51" s="254"/>
      <c r="DC51" s="254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4"/>
      <c r="DO51" s="254"/>
      <c r="DP51" s="254"/>
    </row>
    <row r="52" spans="1:120" s="254" customFormat="1" x14ac:dyDescent="0.2">
      <c r="A52" s="216">
        <v>14</v>
      </c>
      <c r="B52" s="217" t="s">
        <v>770</v>
      </c>
      <c r="C52" s="218" t="s">
        <v>771</v>
      </c>
      <c r="D52" s="270" t="s">
        <v>772</v>
      </c>
      <c r="E52" s="312"/>
      <c r="F52" s="315" t="s">
        <v>773</v>
      </c>
      <c r="G52" s="272" t="s">
        <v>774</v>
      </c>
      <c r="H52" s="222"/>
      <c r="I52" s="223">
        <v>1174140</v>
      </c>
      <c r="J52" s="222"/>
      <c r="K52" s="277"/>
      <c r="L52" s="326">
        <f>0.101%+L7</f>
        <v>1.7590000000000001E-2</v>
      </c>
      <c r="M52" s="226">
        <v>2.5000000000000001E-3</v>
      </c>
      <c r="N52" s="227">
        <v>4</v>
      </c>
      <c r="O52" s="262"/>
      <c r="P52" s="263"/>
      <c r="Q52" s="318"/>
      <c r="R52" s="319"/>
      <c r="S52" s="264" t="s">
        <v>660</v>
      </c>
      <c r="T52" s="233">
        <v>1113420</v>
      </c>
      <c r="U52" s="234">
        <v>80976</v>
      </c>
      <c r="V52" s="234">
        <v>80976</v>
      </c>
      <c r="W52" s="234">
        <v>80976</v>
      </c>
      <c r="X52" s="234">
        <v>80976</v>
      </c>
      <c r="Y52" s="234">
        <v>80976</v>
      </c>
      <c r="Z52" s="234">
        <v>80976</v>
      </c>
      <c r="AA52" s="234">
        <v>80976</v>
      </c>
      <c r="AB52" s="234">
        <v>80976</v>
      </c>
      <c r="AC52" s="234">
        <v>80976</v>
      </c>
      <c r="AD52" s="234">
        <v>80976</v>
      </c>
      <c r="AE52" s="234">
        <v>303660</v>
      </c>
      <c r="AF52" s="235">
        <f t="shared" si="1"/>
        <v>870492</v>
      </c>
      <c r="AG52" s="236"/>
      <c r="AH52" s="236"/>
    </row>
    <row r="53" spans="1:120" s="254" customFormat="1" ht="15" thickBot="1" x14ac:dyDescent="0.35">
      <c r="A53" s="238"/>
      <c r="B53" s="239"/>
      <c r="C53" s="240"/>
      <c r="D53" s="240"/>
      <c r="E53" s="242"/>
      <c r="F53" s="242"/>
      <c r="G53" s="243"/>
      <c r="H53" s="244"/>
      <c r="I53" s="358"/>
      <c r="J53" s="276"/>
      <c r="K53" s="277"/>
      <c r="L53" s="240"/>
      <c r="M53" s="240"/>
      <c r="N53" s="240"/>
      <c r="O53" s="262"/>
      <c r="P53" s="263"/>
      <c r="Q53" s="318"/>
      <c r="R53" s="319"/>
      <c r="S53" s="250" t="s">
        <v>662</v>
      </c>
      <c r="T53" s="251"/>
      <c r="U53" s="252">
        <f>((SUM(U52:$AE52))*($L52+$M52))</f>
        <v>22368.607800000002</v>
      </c>
      <c r="V53" s="252">
        <f>((SUM(V52:$AE52))*($L52+$M52))</f>
        <v>20741.79996</v>
      </c>
      <c r="W53" s="252">
        <f>((SUM(W52:$AE52))*($L52+$M52))</f>
        <v>19114.992119999999</v>
      </c>
      <c r="X53" s="252">
        <f>((SUM(X52:$AE52))*($L52+$M52))</f>
        <v>17488.184280000001</v>
      </c>
      <c r="Y53" s="252">
        <f>((SUM(Y52:$AE52))*($L52+$M52))</f>
        <v>15861.37644</v>
      </c>
      <c r="Z53" s="252">
        <f>((SUM(Z52:$AE52))*($L52+$M52))</f>
        <v>14234.568600000001</v>
      </c>
      <c r="AA53" s="252">
        <f>((SUM(AA52:$AE52))*($L52+$M52))</f>
        <v>12607.760760000001</v>
      </c>
      <c r="AB53" s="252">
        <f>((SUM(AB52:$AE52))*($L52+$M52))</f>
        <v>10980.95292</v>
      </c>
      <c r="AC53" s="252">
        <f>((SUM(AC52:$AE52))*($L52+$M52))</f>
        <v>9354.1450800000002</v>
      </c>
      <c r="AD53" s="252">
        <f>((SUM(AD52:$AE52))*($L52+$M52))</f>
        <v>7727.3372399999998</v>
      </c>
      <c r="AE53" s="252">
        <f>((SUM(AE52:$AE52))*($L52+$M52))*4</f>
        <v>24402.117600000001</v>
      </c>
      <c r="AF53" s="253">
        <f t="shared" si="1"/>
        <v>112656.44291999999</v>
      </c>
      <c r="AG53" s="236"/>
      <c r="AH53" s="236"/>
    </row>
    <row r="54" spans="1:120" s="254" customFormat="1" x14ac:dyDescent="0.2">
      <c r="A54" s="216">
        <v>15</v>
      </c>
      <c r="B54" s="217" t="s">
        <v>775</v>
      </c>
      <c r="C54" s="218" t="s">
        <v>776</v>
      </c>
      <c r="D54" s="270" t="s">
        <v>777</v>
      </c>
      <c r="E54" s="312"/>
      <c r="F54" s="315" t="s">
        <v>778</v>
      </c>
      <c r="G54" s="272" t="s">
        <v>779</v>
      </c>
      <c r="H54" s="222"/>
      <c r="I54" s="223">
        <v>186392</v>
      </c>
      <c r="J54" s="222"/>
      <c r="K54" s="224">
        <f>J54/0.702804</f>
        <v>0</v>
      </c>
      <c r="L54" s="326">
        <f>0.101%+$L$7</f>
        <v>1.7590000000000001E-2</v>
      </c>
      <c r="M54" s="226">
        <v>2.5000000000000001E-3</v>
      </c>
      <c r="N54" s="227">
        <v>4</v>
      </c>
      <c r="O54" s="228"/>
      <c r="P54" s="229">
        <v>0</v>
      </c>
      <c r="Q54" s="230"/>
      <c r="R54" s="231"/>
      <c r="S54" s="264" t="s">
        <v>660</v>
      </c>
      <c r="T54" s="233"/>
      <c r="U54" s="234">
        <v>16907.599999999999</v>
      </c>
      <c r="V54" s="234">
        <v>0</v>
      </c>
      <c r="W54" s="234">
        <v>12992</v>
      </c>
      <c r="X54" s="234">
        <v>17360</v>
      </c>
      <c r="Y54" s="234">
        <v>17360</v>
      </c>
      <c r="Z54" s="234">
        <v>15080</v>
      </c>
      <c r="AA54" s="234">
        <v>8240</v>
      </c>
      <c r="AB54" s="234">
        <v>8240</v>
      </c>
      <c r="AC54" s="234">
        <v>8240</v>
      </c>
      <c r="AD54" s="234">
        <v>8240</v>
      </c>
      <c r="AE54" s="234">
        <v>73732.399999999994</v>
      </c>
      <c r="AF54" s="235">
        <f t="shared" si="1"/>
        <v>156492.4</v>
      </c>
      <c r="AG54" s="236"/>
      <c r="AH54" s="236"/>
    </row>
    <row r="55" spans="1:120" s="254" customFormat="1" ht="15" thickBot="1" x14ac:dyDescent="0.35">
      <c r="A55" s="238"/>
      <c r="B55" s="239" t="s">
        <v>780</v>
      </c>
      <c r="C55" s="240"/>
      <c r="D55" s="240"/>
      <c r="E55" s="242"/>
      <c r="F55" s="242"/>
      <c r="G55" s="243"/>
      <c r="H55" s="244"/>
      <c r="I55" s="275"/>
      <c r="J55" s="276"/>
      <c r="K55" s="277"/>
      <c r="L55" s="240"/>
      <c r="M55" s="240"/>
      <c r="N55" s="240"/>
      <c r="O55" s="247"/>
      <c r="P55" s="246"/>
      <c r="Q55" s="268"/>
      <c r="R55" s="269"/>
      <c r="S55" s="264" t="s">
        <v>662</v>
      </c>
      <c r="T55" s="251"/>
      <c r="U55" s="252">
        <f>((SUM(U54:$AE54))*($L54+$M54))</f>
        <v>3744.61528</v>
      </c>
      <c r="V55" s="252">
        <f>((SUM(V54:$AE54))*($L54+$M54))</f>
        <v>3404.9415960000001</v>
      </c>
      <c r="W55" s="252">
        <f>((SUM(W54:$AE54))*($L54+$M54))</f>
        <v>3404.9415960000001</v>
      </c>
      <c r="X55" s="252">
        <f>((SUM(X54:$AE54))*($L54+$M54))</f>
        <v>3143.9323159999999</v>
      </c>
      <c r="Y55" s="252">
        <f>((SUM(Y54:$AE54))*($L54+$M54))</f>
        <v>2795.1699159999998</v>
      </c>
      <c r="Z55" s="252">
        <f>((SUM(Z54:$AE54))*($L54+$M54))</f>
        <v>2446.4075159999998</v>
      </c>
      <c r="AA55" s="252">
        <f>((SUM(AA54:$AE54))*($L54+$M54))</f>
        <v>2143.4503159999999</v>
      </c>
      <c r="AB55" s="252">
        <f>((SUM(AB54:$AE54))*($L54+$M54))</f>
        <v>1977.9087159999999</v>
      </c>
      <c r="AC55" s="252">
        <f>((SUM(AC54:$AE54))*($L54+$M54))</f>
        <v>1812.3671159999999</v>
      </c>
      <c r="AD55" s="252">
        <f>((SUM(AD54:$AE54))*($L54+$M54))</f>
        <v>1646.8255159999999</v>
      </c>
      <c r="AE55" s="252">
        <f>((SUM(AE54:$AE54))*($L54+$M54))*10</f>
        <v>14812.83916</v>
      </c>
      <c r="AF55" s="253">
        <f t="shared" si="1"/>
        <v>30778.900571999999</v>
      </c>
      <c r="AG55" s="236"/>
      <c r="AH55" s="236"/>
    </row>
    <row r="56" spans="1:120" s="254" customFormat="1" x14ac:dyDescent="0.2">
      <c r="A56" s="216">
        <v>16</v>
      </c>
      <c r="B56" s="219" t="s">
        <v>781</v>
      </c>
      <c r="C56" s="218" t="s">
        <v>782</v>
      </c>
      <c r="D56" s="270" t="s">
        <v>783</v>
      </c>
      <c r="E56" s="312"/>
      <c r="F56" s="315" t="s">
        <v>784</v>
      </c>
      <c r="G56" s="272" t="s">
        <v>785</v>
      </c>
      <c r="H56" s="222"/>
      <c r="I56" s="223">
        <v>46991.33</v>
      </c>
      <c r="J56" s="222"/>
      <c r="K56" s="224">
        <f>J56/0.702804</f>
        <v>0</v>
      </c>
      <c r="L56" s="326">
        <f>0.101%+$L$7</f>
        <v>1.7590000000000001E-2</v>
      </c>
      <c r="M56" s="226">
        <v>2.5000000000000001E-3</v>
      </c>
      <c r="N56" s="227">
        <v>4</v>
      </c>
      <c r="O56" s="228"/>
      <c r="P56" s="229">
        <v>0</v>
      </c>
      <c r="Q56" s="230"/>
      <c r="R56" s="231"/>
      <c r="S56" s="232" t="s">
        <v>660</v>
      </c>
      <c r="T56" s="234"/>
      <c r="U56" s="234"/>
      <c r="V56" s="234">
        <v>9883</v>
      </c>
      <c r="W56" s="234">
        <v>9896</v>
      </c>
      <c r="X56" s="234">
        <v>9896</v>
      </c>
      <c r="Y56" s="234">
        <v>9896</v>
      </c>
      <c r="Z56" s="234">
        <v>7420.33</v>
      </c>
      <c r="AA56" s="273">
        <v>0</v>
      </c>
      <c r="AB56" s="273">
        <v>0</v>
      </c>
      <c r="AC56" s="273">
        <v>0</v>
      </c>
      <c r="AD56" s="273">
        <v>0</v>
      </c>
      <c r="AE56" s="273">
        <v>0</v>
      </c>
      <c r="AF56" s="235">
        <f t="shared" si="1"/>
        <v>27212.33</v>
      </c>
      <c r="AG56" s="236"/>
      <c r="AH56" s="236"/>
    </row>
    <row r="57" spans="1:120" s="254" customFormat="1" ht="15" thickBot="1" x14ac:dyDescent="0.35">
      <c r="A57" s="238"/>
      <c r="B57" s="239"/>
      <c r="C57" s="240"/>
      <c r="D57" s="240"/>
      <c r="E57" s="242"/>
      <c r="F57" s="242" t="s">
        <v>786</v>
      </c>
      <c r="G57" s="243"/>
      <c r="H57" s="244"/>
      <c r="I57" s="275"/>
      <c r="J57" s="276"/>
      <c r="K57" s="277"/>
      <c r="L57" s="240"/>
      <c r="M57" s="240"/>
      <c r="N57" s="240"/>
      <c r="O57" s="247"/>
      <c r="P57" s="246"/>
      <c r="Q57" s="268"/>
      <c r="R57" s="269"/>
      <c r="S57" s="250" t="s">
        <v>662</v>
      </c>
      <c r="T57" s="332"/>
      <c r="U57" s="332"/>
      <c r="V57" s="252">
        <f>((SUM(V56:$AE56))*($L56+$M56))</f>
        <v>944.05581970000003</v>
      </c>
      <c r="W57" s="252">
        <f>((SUM(W56:$AE56))*($L56+$M56))</f>
        <v>745.50634969999999</v>
      </c>
      <c r="X57" s="252">
        <f>((SUM(X56:$AE56))*($L56+$M56))</f>
        <v>546.69570970000007</v>
      </c>
      <c r="Y57" s="252">
        <f>((SUM(Y56:$AE56))*($L56+$M56))</f>
        <v>347.88506970000003</v>
      </c>
      <c r="Z57" s="252">
        <f>((SUM(Z56:$AE56))*($L56+$M56))</f>
        <v>149.0744297</v>
      </c>
      <c r="AA57" s="278">
        <f>((SUM(AA56:$AE56))*($L56+$M56))</f>
        <v>0</v>
      </c>
      <c r="AB57" s="278">
        <f>((SUM(AB56:$AE56))*($L56+$M56))</f>
        <v>0</v>
      </c>
      <c r="AC57" s="278">
        <f>((SUM(AC56:$AE56))*($L56+$M56))</f>
        <v>0</v>
      </c>
      <c r="AD57" s="278">
        <f>((SUM(AD56:$AE56))*($L56+$M56))</f>
        <v>0</v>
      </c>
      <c r="AE57" s="278">
        <f>((SUM(AE56:$AE56))*($L56+$M56))</f>
        <v>0</v>
      </c>
      <c r="AF57" s="253">
        <f t="shared" si="1"/>
        <v>1043.6552091000001</v>
      </c>
      <c r="AG57" s="236"/>
      <c r="AH57" s="236"/>
    </row>
    <row r="58" spans="1:120" s="361" customFormat="1" x14ac:dyDescent="0.2">
      <c r="A58" s="216">
        <v>17</v>
      </c>
      <c r="B58" s="219" t="s">
        <v>787</v>
      </c>
      <c r="C58" s="218" t="s">
        <v>788</v>
      </c>
      <c r="D58" s="270" t="s">
        <v>789</v>
      </c>
      <c r="E58" s="359"/>
      <c r="F58" s="315" t="s">
        <v>778</v>
      </c>
      <c r="G58" s="272" t="s">
        <v>790</v>
      </c>
      <c r="H58" s="222"/>
      <c r="I58" s="223">
        <v>581242</v>
      </c>
      <c r="J58" s="222"/>
      <c r="K58" s="224">
        <f>J58/0.702804</f>
        <v>0</v>
      </c>
      <c r="L58" s="326">
        <f>0.101%+$L$7</f>
        <v>1.7590000000000001E-2</v>
      </c>
      <c r="M58" s="226">
        <v>2.5000000000000001E-3</v>
      </c>
      <c r="N58" s="227">
        <v>4</v>
      </c>
      <c r="O58" s="228"/>
      <c r="P58" s="229">
        <v>0</v>
      </c>
      <c r="Q58" s="230"/>
      <c r="R58" s="231"/>
      <c r="S58" s="264" t="s">
        <v>660</v>
      </c>
      <c r="T58" s="360"/>
      <c r="U58" s="234"/>
      <c r="V58" s="234"/>
      <c r="W58" s="234">
        <v>58880</v>
      </c>
      <c r="X58" s="234">
        <v>58116</v>
      </c>
      <c r="Y58" s="234">
        <v>58116</v>
      </c>
      <c r="Z58" s="234">
        <v>58116</v>
      </c>
      <c r="AA58" s="234">
        <v>58116</v>
      </c>
      <c r="AB58" s="234">
        <v>58116</v>
      </c>
      <c r="AC58" s="234">
        <v>58116</v>
      </c>
      <c r="AD58" s="234">
        <v>58116</v>
      </c>
      <c r="AE58" s="234">
        <v>115550.12</v>
      </c>
      <c r="AF58" s="235">
        <f t="shared" si="1"/>
        <v>522362.12</v>
      </c>
      <c r="AG58" s="236"/>
      <c r="AH58" s="236"/>
    </row>
    <row r="59" spans="1:120" s="361" customFormat="1" ht="15" thickBot="1" x14ac:dyDescent="0.35">
      <c r="A59" s="238"/>
      <c r="B59" s="362"/>
      <c r="C59" s="240"/>
      <c r="D59" s="363"/>
      <c r="E59" s="364"/>
      <c r="F59" s="242"/>
      <c r="G59" s="243"/>
      <c r="H59" s="244"/>
      <c r="I59" s="275"/>
      <c r="J59" s="276"/>
      <c r="K59" s="277"/>
      <c r="L59" s="240"/>
      <c r="M59" s="240"/>
      <c r="N59" s="240"/>
      <c r="O59" s="247"/>
      <c r="P59" s="246"/>
      <c r="Q59" s="268"/>
      <c r="R59" s="269"/>
      <c r="S59" s="250" t="s">
        <v>662</v>
      </c>
      <c r="T59" s="365"/>
      <c r="U59" s="332"/>
      <c r="V59" s="332"/>
      <c r="W59" s="252">
        <f>((SUM(W58:$AE58))*($L58+$M58))</f>
        <v>11677.1541908</v>
      </c>
      <c r="X59" s="252">
        <f>((SUM(X58:$AE58))*($L58+$M58))</f>
        <v>10494.2549908</v>
      </c>
      <c r="Y59" s="252">
        <f>((SUM(Y58:$AE58))*($L58+$M58))</f>
        <v>9326.7045507999992</v>
      </c>
      <c r="Z59" s="252">
        <f>((SUM(Z58:$AE58))*($L58+$M58))</f>
        <v>8159.1541108000001</v>
      </c>
      <c r="AA59" s="252">
        <f>((SUM(AA58:$AE58))*($L58+$M58))</f>
        <v>6991.6036708000001</v>
      </c>
      <c r="AB59" s="252">
        <f>((SUM(AB58:$AE58))*($L58+$M58))</f>
        <v>5824.0532308000002</v>
      </c>
      <c r="AC59" s="252">
        <f>((SUM(AC58:$AE58))*($L58+$M58))</f>
        <v>4656.5027908000002</v>
      </c>
      <c r="AD59" s="252">
        <f>((SUM(AD58:$AE58))*($L58+$M58))</f>
        <v>3488.9523507999997</v>
      </c>
      <c r="AE59" s="252">
        <f>((SUM(AE58:$AE58))*($L58+$M58))*3</f>
        <v>6964.2057323999998</v>
      </c>
      <c r="AF59" s="253">
        <f t="shared" si="1"/>
        <v>55905.431427999996</v>
      </c>
      <c r="AG59" s="236"/>
      <c r="AH59" s="236"/>
    </row>
    <row r="60" spans="1:120" s="361" customFormat="1" x14ac:dyDescent="0.2">
      <c r="A60" s="216">
        <v>18</v>
      </c>
      <c r="B60" s="219" t="s">
        <v>791</v>
      </c>
      <c r="C60" s="218" t="s">
        <v>792</v>
      </c>
      <c r="D60" s="270" t="s">
        <v>793</v>
      </c>
      <c r="E60" s="359"/>
      <c r="F60" s="315" t="s">
        <v>794</v>
      </c>
      <c r="G60" s="272" t="s">
        <v>795</v>
      </c>
      <c r="H60" s="222"/>
      <c r="I60" s="223">
        <v>141294</v>
      </c>
      <c r="J60" s="222"/>
      <c r="K60" s="224">
        <f>J60/0.702804</f>
        <v>0</v>
      </c>
      <c r="L60" s="326">
        <f>0.101%+$L$7</f>
        <v>1.7590000000000001E-2</v>
      </c>
      <c r="M60" s="226">
        <v>2.5000000000000001E-3</v>
      </c>
      <c r="N60" s="227">
        <v>4</v>
      </c>
      <c r="O60" s="228"/>
      <c r="P60" s="229">
        <v>0</v>
      </c>
      <c r="Q60" s="230"/>
      <c r="R60" s="231"/>
      <c r="S60" s="264" t="s">
        <v>660</v>
      </c>
      <c r="T60" s="360"/>
      <c r="U60" s="234"/>
      <c r="V60" s="234"/>
      <c r="W60" s="234">
        <v>29739</v>
      </c>
      <c r="X60" s="234">
        <v>29748</v>
      </c>
      <c r="Y60" s="234">
        <v>29748</v>
      </c>
      <c r="Z60" s="234">
        <v>29748</v>
      </c>
      <c r="AA60" s="234">
        <v>22311</v>
      </c>
      <c r="AB60" s="273">
        <v>0</v>
      </c>
      <c r="AC60" s="273">
        <v>0</v>
      </c>
      <c r="AD60" s="273">
        <v>0</v>
      </c>
      <c r="AE60" s="273">
        <v>0</v>
      </c>
      <c r="AF60" s="235">
        <f t="shared" si="1"/>
        <v>111555</v>
      </c>
      <c r="AG60" s="236"/>
      <c r="AH60" s="236"/>
    </row>
    <row r="61" spans="1:120" s="361" customFormat="1" ht="15" thickBot="1" x14ac:dyDescent="0.35">
      <c r="A61" s="238"/>
      <c r="B61" s="362"/>
      <c r="C61" s="240"/>
      <c r="D61" s="363"/>
      <c r="E61" s="364"/>
      <c r="F61" s="242"/>
      <c r="G61" s="243"/>
      <c r="H61" s="244"/>
      <c r="I61" s="275"/>
      <c r="J61" s="276"/>
      <c r="K61" s="277"/>
      <c r="L61" s="240"/>
      <c r="M61" s="240"/>
      <c r="N61" s="240"/>
      <c r="O61" s="247"/>
      <c r="P61" s="246"/>
      <c r="Q61" s="268"/>
      <c r="R61" s="269"/>
      <c r="S61" s="250" t="s">
        <v>662</v>
      </c>
      <c r="T61" s="365"/>
      <c r="U61" s="332"/>
      <c r="V61" s="332"/>
      <c r="W61" s="252">
        <f>((SUM(W60:$AE60))*($L60+$M60))</f>
        <v>2838.5964600000002</v>
      </c>
      <c r="X61" s="252">
        <f>((SUM(X60:$AE60))*($L60+$M60))</f>
        <v>2241.1399500000002</v>
      </c>
      <c r="Y61" s="252">
        <f>((SUM(Y60:$AE60))*($L60+$M60))</f>
        <v>1643.50263</v>
      </c>
      <c r="Z61" s="252">
        <f>((SUM(Z60:$AE60))*($L60+$M60))</f>
        <v>1045.8653099999999</v>
      </c>
      <c r="AA61" s="252">
        <f>((SUM(AA60:$AE60))*($L60+$M60))</f>
        <v>448.22798999999998</v>
      </c>
      <c r="AB61" s="278">
        <f>((SUM(AB60:$AE60))*($L60+$M60))</f>
        <v>0</v>
      </c>
      <c r="AC61" s="278">
        <f>((SUM(AC60:$AE60))*($L60+$M60))</f>
        <v>0</v>
      </c>
      <c r="AD61" s="278">
        <f>((SUM(AD60:$AE60))*($L60+$M60))</f>
        <v>0</v>
      </c>
      <c r="AE61" s="278">
        <f>((SUM(AE60:$AE60))*($L60+$M60))</f>
        <v>0</v>
      </c>
      <c r="AF61" s="253">
        <f t="shared" si="1"/>
        <v>5378.7358800000002</v>
      </c>
      <c r="AG61" s="236"/>
      <c r="AH61" s="236"/>
    </row>
    <row r="62" spans="1:120" s="361" customFormat="1" x14ac:dyDescent="0.2">
      <c r="A62" s="216">
        <v>19</v>
      </c>
      <c r="B62" s="219" t="s">
        <v>796</v>
      </c>
      <c r="C62" s="218" t="s">
        <v>797</v>
      </c>
      <c r="D62" s="270" t="s">
        <v>798</v>
      </c>
      <c r="E62" s="359"/>
      <c r="F62" s="315" t="s">
        <v>778</v>
      </c>
      <c r="G62" s="272" t="s">
        <v>790</v>
      </c>
      <c r="H62" s="222"/>
      <c r="I62" s="223">
        <v>697002</v>
      </c>
      <c r="J62" s="222"/>
      <c r="K62" s="224">
        <f>J62/0.702804</f>
        <v>0</v>
      </c>
      <c r="L62" s="326">
        <f>0.101%+$L$7</f>
        <v>1.7590000000000001E-2</v>
      </c>
      <c r="M62" s="226">
        <v>2.5000000000000001E-3</v>
      </c>
      <c r="N62" s="227">
        <v>4</v>
      </c>
      <c r="O62" s="228"/>
      <c r="P62" s="229">
        <v>0</v>
      </c>
      <c r="Q62" s="230"/>
      <c r="R62" s="231"/>
      <c r="S62" s="264" t="s">
        <v>660</v>
      </c>
      <c r="T62" s="360"/>
      <c r="U62" s="234"/>
      <c r="V62" s="234"/>
      <c r="W62" s="234">
        <v>36654</v>
      </c>
      <c r="X62" s="234">
        <f>73372</f>
        <v>73372</v>
      </c>
      <c r="Y62" s="234">
        <v>73372</v>
      </c>
      <c r="Z62" s="234">
        <v>73372</v>
      </c>
      <c r="AA62" s="234">
        <v>73372</v>
      </c>
      <c r="AB62" s="234">
        <v>73372</v>
      </c>
      <c r="AC62" s="234">
        <v>73372</v>
      </c>
      <c r="AD62" s="234">
        <v>73372</v>
      </c>
      <c r="AE62" s="234">
        <f>146744</f>
        <v>146744</v>
      </c>
      <c r="AF62" s="235">
        <f t="shared" si="1"/>
        <v>660348</v>
      </c>
      <c r="AG62" s="236"/>
      <c r="AH62" s="236"/>
    </row>
    <row r="63" spans="1:120" s="361" customFormat="1" ht="15" thickBot="1" x14ac:dyDescent="0.35">
      <c r="A63" s="238"/>
      <c r="B63" s="362"/>
      <c r="C63" s="240"/>
      <c r="D63" s="363"/>
      <c r="E63" s="364"/>
      <c r="F63" s="242"/>
      <c r="G63" s="243"/>
      <c r="H63" s="244"/>
      <c r="I63" s="275"/>
      <c r="J63" s="276"/>
      <c r="K63" s="277"/>
      <c r="L63" s="240"/>
      <c r="M63" s="240"/>
      <c r="N63" s="240"/>
      <c r="O63" s="247"/>
      <c r="P63" s="246"/>
      <c r="Q63" s="268"/>
      <c r="R63" s="269"/>
      <c r="S63" s="250" t="s">
        <v>662</v>
      </c>
      <c r="T63" s="365"/>
      <c r="U63" s="332"/>
      <c r="V63" s="332"/>
      <c r="W63" s="252">
        <f>((SUM(W62:$AE62))*($L62+$M62))</f>
        <v>14002.77018</v>
      </c>
      <c r="X63" s="252">
        <f>((SUM(X62:$AE62))*($L62+$M62))</f>
        <v>13266.391320000001</v>
      </c>
      <c r="Y63" s="252">
        <f>((SUM(Y62:$AE62))*($L62+$M62))</f>
        <v>11792.34784</v>
      </c>
      <c r="Z63" s="252">
        <f>((SUM(Z62:$AE62))*($L62+$M62))</f>
        <v>10318.30436</v>
      </c>
      <c r="AA63" s="252">
        <f>((SUM(AA62:$AE62))*($L62+$M62))</f>
        <v>8844.2608799999998</v>
      </c>
      <c r="AB63" s="252">
        <f>((SUM(AB62:$AE62))*($L62+$M62))</f>
        <v>7370.2174000000005</v>
      </c>
      <c r="AC63" s="252">
        <f>((SUM(AC62:$AE62))*($L62+$M62))</f>
        <v>5896.1739200000002</v>
      </c>
      <c r="AD63" s="252">
        <f>((SUM(AD62:$AE62))*($L62+$M62))</f>
        <v>4422.1304399999999</v>
      </c>
      <c r="AE63" s="252">
        <f>((SUM(AE62:$AE62))*($L62+$M62))*4</f>
        <v>11792.34784</v>
      </c>
      <c r="AF63" s="253">
        <f t="shared" si="1"/>
        <v>73702.173999999999</v>
      </c>
      <c r="AG63" s="236"/>
      <c r="AH63" s="236"/>
    </row>
    <row r="64" spans="1:120" s="254" customFormat="1" ht="12.6" customHeight="1" x14ac:dyDescent="0.2">
      <c r="A64" s="216">
        <v>20</v>
      </c>
      <c r="B64" s="219" t="s">
        <v>799</v>
      </c>
      <c r="C64" s="218" t="s">
        <v>800</v>
      </c>
      <c r="D64" s="270" t="s">
        <v>801</v>
      </c>
      <c r="E64" s="312"/>
      <c r="F64" s="315" t="s">
        <v>784</v>
      </c>
      <c r="G64" s="272" t="s">
        <v>785</v>
      </c>
      <c r="H64" s="222"/>
      <c r="I64" s="223">
        <f>53218</f>
        <v>53218</v>
      </c>
      <c r="J64" s="222"/>
      <c r="K64" s="224">
        <f>J64/0.702804</f>
        <v>0</v>
      </c>
      <c r="L64" s="326">
        <f>0.101%+$L$7</f>
        <v>1.7590000000000001E-2</v>
      </c>
      <c r="M64" s="226">
        <v>2.5000000000000001E-3</v>
      </c>
      <c r="N64" s="227">
        <v>4</v>
      </c>
      <c r="O64" s="228"/>
      <c r="P64" s="229">
        <v>0</v>
      </c>
      <c r="Q64" s="230"/>
      <c r="R64" s="231"/>
      <c r="S64" s="264" t="s">
        <v>660</v>
      </c>
      <c r="T64" s="234"/>
      <c r="U64" s="234"/>
      <c r="V64" s="234">
        <v>11430</v>
      </c>
      <c r="W64" s="234">
        <v>11448</v>
      </c>
      <c r="X64" s="234">
        <v>11448</v>
      </c>
      <c r="Y64" s="234">
        <v>11448</v>
      </c>
      <c r="Z64" s="234">
        <v>7444</v>
      </c>
      <c r="AA64" s="273">
        <v>0</v>
      </c>
      <c r="AB64" s="273">
        <v>0</v>
      </c>
      <c r="AC64" s="273">
        <v>0</v>
      </c>
      <c r="AD64" s="273">
        <v>0</v>
      </c>
      <c r="AE64" s="273">
        <v>0</v>
      </c>
      <c r="AF64" s="235">
        <f t="shared" si="1"/>
        <v>30340</v>
      </c>
      <c r="AG64" s="236"/>
      <c r="AH64" s="236"/>
    </row>
    <row r="65" spans="1:34" s="254" customFormat="1" ht="15" thickBot="1" x14ac:dyDescent="0.35">
      <c r="A65" s="238"/>
      <c r="B65" s="362"/>
      <c r="C65" s="240"/>
      <c r="D65" s="240"/>
      <c r="E65" s="242"/>
      <c r="F65" s="242"/>
      <c r="G65" s="243"/>
      <c r="H65" s="244"/>
      <c r="I65" s="275"/>
      <c r="J65" s="276"/>
      <c r="K65" s="277"/>
      <c r="L65" s="240"/>
      <c r="M65" s="240"/>
      <c r="N65" s="240"/>
      <c r="O65" s="247"/>
      <c r="P65" s="246"/>
      <c r="Q65" s="268"/>
      <c r="R65" s="269"/>
      <c r="S65" s="250" t="s">
        <v>662</v>
      </c>
      <c r="T65" s="332"/>
      <c r="U65" s="332"/>
      <c r="V65" s="252">
        <f>((SUM(V64:$AE64))*($L64+$M64))</f>
        <v>1069.1496199999999</v>
      </c>
      <c r="W65" s="252">
        <f>((SUM(W64:$AE64))*($L64+$M64))</f>
        <v>839.52092000000005</v>
      </c>
      <c r="X65" s="252">
        <f>((SUM(X64:$AE64))*($L64+$M64))</f>
        <v>609.53060000000005</v>
      </c>
      <c r="Y65" s="252">
        <f>((SUM(Y64:$AE64))*($L64+$M64))</f>
        <v>379.54028</v>
      </c>
      <c r="Z65" s="252">
        <f>((SUM(Z64:$AE64))*($L64+$M64))</f>
        <v>149.54996</v>
      </c>
      <c r="AA65" s="278">
        <f>((SUM(AA64:$AE64))*($L64+$M64))</f>
        <v>0</v>
      </c>
      <c r="AB65" s="278">
        <f>((SUM(AB64:$AE64))*($L64+$M64))</f>
        <v>0</v>
      </c>
      <c r="AC65" s="278">
        <f>((SUM(AC64:$AE64))*($L64+$M64))</f>
        <v>0</v>
      </c>
      <c r="AD65" s="278">
        <f>((SUM(AD64:$AE64))*($L64+$M64))</f>
        <v>0</v>
      </c>
      <c r="AE65" s="278">
        <f>((SUM(AE64:$AE64))*($L64+$M64))</f>
        <v>0</v>
      </c>
      <c r="AF65" s="253">
        <f t="shared" si="1"/>
        <v>1138.62084</v>
      </c>
      <c r="AG65" s="236"/>
      <c r="AH65" s="236"/>
    </row>
    <row r="66" spans="1:34" s="254" customFormat="1" ht="12.6" customHeight="1" x14ac:dyDescent="0.2">
      <c r="A66" s="216">
        <v>21</v>
      </c>
      <c r="B66" s="219" t="s">
        <v>802</v>
      </c>
      <c r="C66" s="218" t="s">
        <v>803</v>
      </c>
      <c r="D66" s="270" t="s">
        <v>804</v>
      </c>
      <c r="E66" s="312"/>
      <c r="F66" s="315" t="s">
        <v>805</v>
      </c>
      <c r="G66" s="272" t="s">
        <v>806</v>
      </c>
      <c r="H66" s="222"/>
      <c r="I66" s="223">
        <v>496340</v>
      </c>
      <c r="J66" s="222"/>
      <c r="K66" s="224">
        <f>J66/0.702804</f>
        <v>0</v>
      </c>
      <c r="L66" s="326">
        <f>0.101%+$L$7</f>
        <v>1.7590000000000001E-2</v>
      </c>
      <c r="M66" s="226">
        <v>2.5000000000000001E-3</v>
      </c>
      <c r="N66" s="227">
        <v>4</v>
      </c>
      <c r="O66" s="228"/>
      <c r="P66" s="229">
        <v>0</v>
      </c>
      <c r="Q66" s="230"/>
      <c r="R66" s="231"/>
      <c r="S66" s="264" t="s">
        <v>660</v>
      </c>
      <c r="T66" s="234"/>
      <c r="U66" s="234"/>
      <c r="V66" s="234"/>
      <c r="W66" s="234"/>
      <c r="X66" s="234">
        <v>26815</v>
      </c>
      <c r="Y66" s="234">
        <v>47782.7</v>
      </c>
      <c r="Z66" s="234">
        <v>47782.7</v>
      </c>
      <c r="AA66" s="234">
        <v>47782.7</v>
      </c>
      <c r="AB66" s="234">
        <v>47782.7</v>
      </c>
      <c r="AC66" s="234">
        <v>47782.7</v>
      </c>
      <c r="AD66" s="234">
        <v>47782.7</v>
      </c>
      <c r="AE66" s="234">
        <v>182828.79999999999</v>
      </c>
      <c r="AF66" s="235">
        <f t="shared" si="1"/>
        <v>496340</v>
      </c>
      <c r="AG66" s="236"/>
      <c r="AH66" s="236"/>
    </row>
    <row r="67" spans="1:34" s="254" customFormat="1" ht="15" thickBot="1" x14ac:dyDescent="0.35">
      <c r="A67" s="238"/>
      <c r="B67" s="362" t="s">
        <v>807</v>
      </c>
      <c r="C67" s="240"/>
      <c r="D67" s="240" t="s">
        <v>808</v>
      </c>
      <c r="E67" s="242"/>
      <c r="F67" s="242"/>
      <c r="G67" s="243"/>
      <c r="H67" s="244"/>
      <c r="I67" s="275"/>
      <c r="J67" s="276"/>
      <c r="K67" s="277"/>
      <c r="L67" s="240"/>
      <c r="M67" s="240"/>
      <c r="N67" s="240"/>
      <c r="O67" s="247"/>
      <c r="P67" s="246"/>
      <c r="Q67" s="268"/>
      <c r="R67" s="269"/>
      <c r="S67" s="250" t="s">
        <v>662</v>
      </c>
      <c r="T67" s="332"/>
      <c r="U67" s="332"/>
      <c r="V67" s="332"/>
      <c r="W67" s="332"/>
      <c r="X67" s="252">
        <f>((SUM(X66:$AE66))*($L66+$M66))</f>
        <v>9971.4706000000006</v>
      </c>
      <c r="Y67" s="252">
        <f>((SUM(Y66:$AE66))*($L66+$M66))</f>
        <v>9432.7572500000006</v>
      </c>
      <c r="Z67" s="252">
        <f>((SUM(Z66:$AE66))*($L66+$M66))</f>
        <v>8472.802807</v>
      </c>
      <c r="AA67" s="252">
        <f>((SUM(AA66:$AE66))*($L66+$M66))</f>
        <v>7512.8483639999995</v>
      </c>
      <c r="AB67" s="252">
        <f>((SUM(AB66:$AE66))*($L66+$M66))</f>
        <v>6552.893920999999</v>
      </c>
      <c r="AC67" s="252">
        <f>((SUM(AC66:$AE66))*($L66+$M66))</f>
        <v>5592.9394779999993</v>
      </c>
      <c r="AD67" s="252">
        <f>((SUM(AD66:$AE66))*($L66+$M66))</f>
        <v>4632.9850349999997</v>
      </c>
      <c r="AE67" s="252">
        <f>((SUM(AE66:$AE66))*($L66+$M66))*3</f>
        <v>11019.091775999999</v>
      </c>
      <c r="AF67" s="253">
        <f t="shared" si="1"/>
        <v>63187.789230999995</v>
      </c>
      <c r="AG67" s="236"/>
      <c r="AH67" s="236"/>
    </row>
    <row r="68" spans="1:34" s="254" customFormat="1" ht="12.6" customHeight="1" x14ac:dyDescent="0.2">
      <c r="A68" s="216">
        <v>22</v>
      </c>
      <c r="B68" s="219" t="s">
        <v>809</v>
      </c>
      <c r="C68" s="218" t="s">
        <v>810</v>
      </c>
      <c r="D68" s="270" t="s">
        <v>811</v>
      </c>
      <c r="E68" s="312"/>
      <c r="F68" s="315" t="s">
        <v>812</v>
      </c>
      <c r="G68" s="272" t="s">
        <v>813</v>
      </c>
      <c r="H68" s="222"/>
      <c r="I68" s="223">
        <v>96800</v>
      </c>
      <c r="J68" s="222"/>
      <c r="K68" s="224">
        <f>J68/0.702804</f>
        <v>0</v>
      </c>
      <c r="L68" s="326">
        <f>0.101%+$L$7</f>
        <v>1.7590000000000001E-2</v>
      </c>
      <c r="M68" s="226">
        <v>2.5000000000000001E-3</v>
      </c>
      <c r="N68" s="227">
        <v>4</v>
      </c>
      <c r="O68" s="228"/>
      <c r="P68" s="229">
        <v>0</v>
      </c>
      <c r="Q68" s="230"/>
      <c r="R68" s="231"/>
      <c r="S68" s="264" t="s">
        <v>660</v>
      </c>
      <c r="T68" s="234"/>
      <c r="U68" s="234"/>
      <c r="V68" s="234"/>
      <c r="W68" s="234"/>
      <c r="X68" s="234">
        <v>20375</v>
      </c>
      <c r="Y68" s="234">
        <v>20380</v>
      </c>
      <c r="Z68" s="234">
        <v>20380</v>
      </c>
      <c r="AA68" s="234">
        <v>20380</v>
      </c>
      <c r="AB68" s="234">
        <v>15285</v>
      </c>
      <c r="AC68" s="273">
        <v>0</v>
      </c>
      <c r="AD68" s="273">
        <v>0</v>
      </c>
      <c r="AE68" s="273">
        <v>0</v>
      </c>
      <c r="AF68" s="235">
        <f t="shared" si="1"/>
        <v>96800</v>
      </c>
      <c r="AG68" s="236"/>
      <c r="AH68" s="236"/>
    </row>
    <row r="69" spans="1:34" s="254" customFormat="1" ht="15" thickBot="1" x14ac:dyDescent="0.35">
      <c r="A69" s="238"/>
      <c r="B69" s="362" t="s">
        <v>814</v>
      </c>
      <c r="C69" s="240"/>
      <c r="D69" s="240"/>
      <c r="E69" s="242"/>
      <c r="F69" s="242"/>
      <c r="G69" s="243"/>
      <c r="H69" s="244"/>
      <c r="I69" s="275"/>
      <c r="J69" s="276"/>
      <c r="K69" s="277"/>
      <c r="L69" s="240"/>
      <c r="M69" s="240"/>
      <c r="N69" s="240"/>
      <c r="O69" s="247"/>
      <c r="P69" s="246"/>
      <c r="Q69" s="268"/>
      <c r="R69" s="269"/>
      <c r="S69" s="250" t="s">
        <v>662</v>
      </c>
      <c r="T69" s="332"/>
      <c r="U69" s="332"/>
      <c r="V69" s="332"/>
      <c r="W69" s="332"/>
      <c r="X69" s="252">
        <f>((SUM(X68:$AE68))*($L68+$M68))</f>
        <v>1944.712</v>
      </c>
      <c r="Y69" s="252">
        <f>((SUM(Y68:$AE68))*($L68+$M68))</f>
        <v>1535.37825</v>
      </c>
      <c r="Z69" s="252">
        <f>((SUM(Z68:$AE68))*($L68+$M68))</f>
        <v>1125.9440500000001</v>
      </c>
      <c r="AA69" s="252">
        <f>((SUM(AA68:$AE68))*($L68+$M68))</f>
        <v>716.50985000000003</v>
      </c>
      <c r="AB69" s="252">
        <f>((SUM(AB68:$AE68))*($L68+$M68))</f>
        <v>307.07565</v>
      </c>
      <c r="AC69" s="278">
        <f>((SUM(AC68:$AE68))*($L68+$M68))</f>
        <v>0</v>
      </c>
      <c r="AD69" s="278">
        <f>((SUM(AD68:$AE68))*($L68+$M68))</f>
        <v>0</v>
      </c>
      <c r="AE69" s="278">
        <f>((SUM(AE68:$AE68))*($L68+$M68))</f>
        <v>0</v>
      </c>
      <c r="AF69" s="253">
        <f t="shared" si="1"/>
        <v>5629.6198000000004</v>
      </c>
      <c r="AG69" s="236"/>
      <c r="AH69" s="236"/>
    </row>
    <row r="70" spans="1:34" s="254" customFormat="1" ht="13.2" customHeight="1" x14ac:dyDescent="0.2">
      <c r="A70" s="366">
        <v>23</v>
      </c>
      <c r="B70" s="639" t="s">
        <v>815</v>
      </c>
      <c r="C70" s="625" t="s">
        <v>816</v>
      </c>
      <c r="D70" s="645" t="s">
        <v>817</v>
      </c>
      <c r="E70" s="312"/>
      <c r="F70" s="656" t="s">
        <v>818</v>
      </c>
      <c r="G70" s="651" t="s">
        <v>819</v>
      </c>
      <c r="H70" s="222"/>
      <c r="I70" s="627">
        <v>5678344.2000000002</v>
      </c>
      <c r="J70" s="222"/>
      <c r="K70" s="224"/>
      <c r="L70" s="326">
        <f>$L$7</f>
        <v>1.6580000000000001E-2</v>
      </c>
      <c r="M70" s="226">
        <f>$M$7</f>
        <v>2.5000000000000001E-3</v>
      </c>
      <c r="N70" s="227"/>
      <c r="O70" s="228"/>
      <c r="P70" s="229"/>
      <c r="Q70" s="230"/>
      <c r="R70" s="231"/>
      <c r="S70" s="264" t="s">
        <v>660</v>
      </c>
      <c r="T70" s="234">
        <v>3976000</v>
      </c>
      <c r="U70" s="234"/>
      <c r="V70" s="234">
        <v>552592</v>
      </c>
      <c r="W70" s="234">
        <v>508856</v>
      </c>
      <c r="X70" s="234">
        <v>434960</v>
      </c>
      <c r="Y70" s="234">
        <v>395316</v>
      </c>
      <c r="Z70" s="234">
        <v>363420</v>
      </c>
      <c r="AA70" s="234">
        <v>344336</v>
      </c>
      <c r="AB70" s="234">
        <v>314856</v>
      </c>
      <c r="AC70" s="234">
        <v>305080</v>
      </c>
      <c r="AD70" s="234">
        <v>279984</v>
      </c>
      <c r="AE70" s="234">
        <v>1029192</v>
      </c>
      <c r="AF70" s="367">
        <f t="shared" si="1"/>
        <v>3467144</v>
      </c>
      <c r="AG70" s="236"/>
      <c r="AH70" s="236"/>
    </row>
    <row r="71" spans="1:34" s="254" customFormat="1" ht="15" thickBot="1" x14ac:dyDescent="0.35">
      <c r="A71" s="368"/>
      <c r="B71" s="655"/>
      <c r="C71" s="631"/>
      <c r="D71" s="626"/>
      <c r="E71" s="242"/>
      <c r="F71" s="631"/>
      <c r="G71" s="631"/>
      <c r="H71" s="244"/>
      <c r="I71" s="643"/>
      <c r="J71" s="276"/>
      <c r="K71" s="277"/>
      <c r="L71" s="240"/>
      <c r="M71" s="240"/>
      <c r="N71" s="240"/>
      <c r="O71" s="247"/>
      <c r="P71" s="246"/>
      <c r="Q71" s="268"/>
      <c r="R71" s="269"/>
      <c r="S71" s="250" t="s">
        <v>662</v>
      </c>
      <c r="T71" s="332"/>
      <c r="U71" s="332"/>
      <c r="V71" s="252">
        <v>6000</v>
      </c>
      <c r="W71" s="252">
        <v>9940</v>
      </c>
      <c r="X71" s="252">
        <f>((SUM(X70:$AE70))*($L70+$M70))</f>
        <v>66153.107520000005</v>
      </c>
      <c r="Y71" s="252">
        <f>((SUM(Y70:$AE70))*($L70+$M70))</f>
        <v>57854.070719999996</v>
      </c>
      <c r="Z71" s="252">
        <f>((SUM(Z70:$AE70))*($L70+$M70))</f>
        <v>50311.441440000002</v>
      </c>
      <c r="AA71" s="252">
        <f>((SUM(AA70:$AE70))*($L70+$M70))</f>
        <v>43377.387839999996</v>
      </c>
      <c r="AB71" s="252">
        <f>((SUM(AB70:$AE70))*($L70+$M70))</f>
        <v>36807.456959999996</v>
      </c>
      <c r="AC71" s="252">
        <f>((SUM(AC70:$AE70))*($L70+$M70))</f>
        <v>30800.00448</v>
      </c>
      <c r="AD71" s="252">
        <f>((SUM(AD70:$AE70))*($L70+$M70))</f>
        <v>24979.078079999999</v>
      </c>
      <c r="AE71" s="252">
        <f>((SUM(AE70:$AE70))*($L70+$M70))*6</f>
        <v>117821.90015999999</v>
      </c>
      <c r="AF71" s="369">
        <f t="shared" si="1"/>
        <v>428104.44719999994</v>
      </c>
      <c r="AG71" s="236"/>
      <c r="AH71" s="236"/>
    </row>
    <row r="72" spans="1:34" s="254" customFormat="1" ht="13.2" customHeight="1" x14ac:dyDescent="0.2">
      <c r="A72" s="366">
        <v>24</v>
      </c>
      <c r="B72" s="653" t="s">
        <v>820</v>
      </c>
      <c r="C72" s="645" t="s">
        <v>821</v>
      </c>
      <c r="D72" s="645" t="s">
        <v>822</v>
      </c>
      <c r="E72" s="312"/>
      <c r="F72" s="652" t="s">
        <v>823</v>
      </c>
      <c r="G72" s="645" t="s">
        <v>824</v>
      </c>
      <c r="H72" s="222"/>
      <c r="I72" s="627">
        <v>2075409</v>
      </c>
      <c r="J72" s="222"/>
      <c r="K72" s="224"/>
      <c r="L72" s="326">
        <f>$L$7</f>
        <v>1.6580000000000001E-2</v>
      </c>
      <c r="M72" s="226">
        <f>$M$7</f>
        <v>2.5000000000000001E-3</v>
      </c>
      <c r="N72" s="227"/>
      <c r="O72" s="228"/>
      <c r="P72" s="229"/>
      <c r="Q72" s="230"/>
      <c r="R72" s="231"/>
      <c r="S72" s="264" t="s">
        <v>660</v>
      </c>
      <c r="T72" s="234">
        <v>1809890</v>
      </c>
      <c r="U72" s="234"/>
      <c r="V72" s="234">
        <v>265519</v>
      </c>
      <c r="W72" s="234">
        <v>248648</v>
      </c>
      <c r="X72" s="234">
        <v>150040</v>
      </c>
      <c r="Y72" s="234">
        <v>128252</v>
      </c>
      <c r="Z72" s="234">
        <v>123200</v>
      </c>
      <c r="AA72" s="234">
        <v>121648</v>
      </c>
      <c r="AB72" s="234">
        <v>117000</v>
      </c>
      <c r="AC72" s="234">
        <v>117000</v>
      </c>
      <c r="AD72" s="234">
        <v>117000</v>
      </c>
      <c r="AE72" s="234">
        <v>687102</v>
      </c>
      <c r="AF72" s="367">
        <f t="shared" si="1"/>
        <v>1561242</v>
      </c>
      <c r="AG72" s="236"/>
      <c r="AH72" s="236"/>
    </row>
    <row r="73" spans="1:34" s="254" customFormat="1" ht="15" thickBot="1" x14ac:dyDescent="0.35">
      <c r="A73" s="368"/>
      <c r="B73" s="654"/>
      <c r="C73" s="646"/>
      <c r="D73" s="646"/>
      <c r="E73" s="242"/>
      <c r="F73" s="642"/>
      <c r="G73" s="646"/>
      <c r="H73" s="244"/>
      <c r="I73" s="643"/>
      <c r="J73" s="276"/>
      <c r="K73" s="277"/>
      <c r="L73" s="240"/>
      <c r="M73" s="240"/>
      <c r="N73" s="240"/>
      <c r="O73" s="247"/>
      <c r="P73" s="246"/>
      <c r="Q73" s="268"/>
      <c r="R73" s="269"/>
      <c r="S73" s="250" t="s">
        <v>662</v>
      </c>
      <c r="T73" s="332"/>
      <c r="U73" s="332"/>
      <c r="V73" s="252">
        <v>5500</v>
      </c>
      <c r="W73" s="252">
        <v>4524.7250000000004</v>
      </c>
      <c r="X73" s="252">
        <f>((SUM(X72:$AE72))*($L72+$M72))</f>
        <v>29788.497360000001</v>
      </c>
      <c r="Y73" s="252">
        <f>((SUM(Y72:$AE72))*($L72+$M72))</f>
        <v>26925.73416</v>
      </c>
      <c r="Z73" s="252">
        <f>((SUM(Z72:$AE72))*($L72+$M72))</f>
        <v>24478.685999999998</v>
      </c>
      <c r="AA73" s="252">
        <f>((SUM(AA72:$AE72))*($L72+$M72))</f>
        <v>22128.03</v>
      </c>
      <c r="AB73" s="252">
        <f>((SUM(AB72:$AE72))*($L72+$M72))</f>
        <v>19806.98616</v>
      </c>
      <c r="AC73" s="252">
        <f>((SUM(AC72:$AE72))*($L72+$M72))</f>
        <v>17574.62616</v>
      </c>
      <c r="AD73" s="252">
        <f>((SUM(AD72:$AE72))*($L72+$M72))</f>
        <v>15342.266159999999</v>
      </c>
      <c r="AE73" s="252">
        <f>((SUM(AE72:$AE72))*($L72+$M72))*8.5</f>
        <v>111434.20236000001</v>
      </c>
      <c r="AF73" s="369">
        <f t="shared" si="1"/>
        <v>267479.02836</v>
      </c>
      <c r="AG73" s="236"/>
      <c r="AH73" s="236"/>
    </row>
    <row r="74" spans="1:34" s="254" customFormat="1" ht="13.2" customHeight="1" x14ac:dyDescent="0.2">
      <c r="A74" s="366">
        <v>25</v>
      </c>
      <c r="B74" s="639" t="s">
        <v>825</v>
      </c>
      <c r="C74" s="645" t="s">
        <v>826</v>
      </c>
      <c r="D74" s="645" t="s">
        <v>827</v>
      </c>
      <c r="E74" s="312"/>
      <c r="F74" s="641" t="s">
        <v>828</v>
      </c>
      <c r="G74" s="625" t="s">
        <v>829</v>
      </c>
      <c r="H74" s="222"/>
      <c r="I74" s="627">
        <v>484935.32</v>
      </c>
      <c r="J74" s="222"/>
      <c r="K74" s="224"/>
      <c r="L74" s="326">
        <f>$L$7</f>
        <v>1.6580000000000001E-2</v>
      </c>
      <c r="M74" s="226">
        <f>$M$7</f>
        <v>2.5000000000000001E-3</v>
      </c>
      <c r="N74" s="227"/>
      <c r="O74" s="228"/>
      <c r="P74" s="229"/>
      <c r="Q74" s="230"/>
      <c r="R74" s="231"/>
      <c r="S74" s="264" t="s">
        <v>660</v>
      </c>
      <c r="T74" s="234">
        <v>330070</v>
      </c>
      <c r="U74" s="234"/>
      <c r="V74" s="234">
        <v>20312</v>
      </c>
      <c r="W74" s="234">
        <v>20312</v>
      </c>
      <c r="X74" s="234">
        <v>20312</v>
      </c>
      <c r="Y74" s="234">
        <v>20312</v>
      </c>
      <c r="Z74" s="234">
        <v>20312</v>
      </c>
      <c r="AA74" s="234">
        <v>20312</v>
      </c>
      <c r="AB74" s="234">
        <v>20312</v>
      </c>
      <c r="AC74" s="234">
        <v>20312</v>
      </c>
      <c r="AD74" s="234">
        <v>20312</v>
      </c>
      <c r="AE74" s="234">
        <v>167574</v>
      </c>
      <c r="AF74" s="367">
        <f t="shared" si="1"/>
        <v>309758</v>
      </c>
      <c r="AG74" s="236"/>
      <c r="AH74" s="236"/>
    </row>
    <row r="75" spans="1:34" s="254" customFormat="1" ht="15" thickBot="1" x14ac:dyDescent="0.35">
      <c r="A75" s="368"/>
      <c r="B75" s="644"/>
      <c r="C75" s="646"/>
      <c r="D75" s="646"/>
      <c r="E75" s="242"/>
      <c r="F75" s="642"/>
      <c r="G75" s="631"/>
      <c r="H75" s="244"/>
      <c r="I75" s="643"/>
      <c r="J75" s="276"/>
      <c r="K75" s="277"/>
      <c r="L75" s="240"/>
      <c r="M75" s="240"/>
      <c r="N75" s="240"/>
      <c r="O75" s="247"/>
      <c r="P75" s="246"/>
      <c r="Q75" s="268"/>
      <c r="R75" s="269"/>
      <c r="S75" s="250" t="s">
        <v>662</v>
      </c>
      <c r="T75" s="332"/>
      <c r="U75" s="332"/>
      <c r="V75" s="252">
        <v>1000</v>
      </c>
      <c r="W75" s="252">
        <v>841.6785000000001</v>
      </c>
      <c r="X75" s="252">
        <f>((SUM(X74:$AE74))*($L74+$M74))</f>
        <v>5910.18264</v>
      </c>
      <c r="Y75" s="252">
        <f>((SUM(Y74:$AE74))*($L74+$M74))</f>
        <v>5522.62968</v>
      </c>
      <c r="Z75" s="252">
        <f>((SUM(Z74:$AE74))*($L74+$M74))</f>
        <v>5135.07672</v>
      </c>
      <c r="AA75" s="252">
        <f>((SUM(AA74:$AE74))*($L74+$M74))</f>
        <v>4747.52376</v>
      </c>
      <c r="AB75" s="252">
        <f>((SUM(AB74:$AE74))*($L74+$M74))</f>
        <v>4359.9708000000001</v>
      </c>
      <c r="AC75" s="252">
        <f>((SUM(AC74:$AE74))*($L74+$M74))</f>
        <v>3972.4178400000001</v>
      </c>
      <c r="AD75" s="252">
        <f>((SUM(AD74:$AE74))*($L74+$M74))</f>
        <v>3584.8648800000001</v>
      </c>
      <c r="AE75" s="252">
        <f>((SUM(AE74:$AE74))*($L74+$M74))*8.3</f>
        <v>26537.688936000002</v>
      </c>
      <c r="AF75" s="369">
        <f t="shared" si="1"/>
        <v>59770.35525600001</v>
      </c>
      <c r="AG75" s="236"/>
      <c r="AH75" s="236"/>
    </row>
    <row r="76" spans="1:34" s="254" customFormat="1" ht="13.2" customHeight="1" x14ac:dyDescent="0.2">
      <c r="A76" s="366">
        <v>26</v>
      </c>
      <c r="B76" s="639" t="s">
        <v>830</v>
      </c>
      <c r="C76" s="645" t="s">
        <v>831</v>
      </c>
      <c r="D76" s="645" t="s">
        <v>832</v>
      </c>
      <c r="E76" s="312"/>
      <c r="F76" s="641" t="s">
        <v>833</v>
      </c>
      <c r="G76" s="625" t="s">
        <v>834</v>
      </c>
      <c r="H76" s="222"/>
      <c r="I76" s="627">
        <v>55899</v>
      </c>
      <c r="J76" s="222"/>
      <c r="K76" s="224"/>
      <c r="L76" s="326">
        <f>$L$7</f>
        <v>1.6580000000000001E-2</v>
      </c>
      <c r="M76" s="226">
        <f>$M$7</f>
        <v>2.5000000000000001E-3</v>
      </c>
      <c r="N76" s="227"/>
      <c r="O76" s="228"/>
      <c r="P76" s="229"/>
      <c r="Q76" s="230"/>
      <c r="R76" s="231"/>
      <c r="S76" s="264" t="s">
        <v>660</v>
      </c>
      <c r="T76" s="234">
        <v>31304</v>
      </c>
      <c r="U76" s="234"/>
      <c r="V76" s="234">
        <v>8944</v>
      </c>
      <c r="W76" s="234">
        <v>8944</v>
      </c>
      <c r="X76" s="234">
        <v>8944</v>
      </c>
      <c r="Y76" s="234">
        <v>8944</v>
      </c>
      <c r="Z76" s="234">
        <v>4472</v>
      </c>
      <c r="AA76" s="273">
        <v>0</v>
      </c>
      <c r="AB76" s="273">
        <v>0</v>
      </c>
      <c r="AC76" s="273">
        <v>0</v>
      </c>
      <c r="AD76" s="273">
        <v>0</v>
      </c>
      <c r="AE76" s="273">
        <v>0</v>
      </c>
      <c r="AF76" s="367">
        <f t="shared" ref="AF76:AF139" si="2">SUM(X76:AE76)</f>
        <v>22360</v>
      </c>
      <c r="AG76" s="236"/>
      <c r="AH76" s="236"/>
    </row>
    <row r="77" spans="1:34" s="254" customFormat="1" ht="15" thickBot="1" x14ac:dyDescent="0.35">
      <c r="A77" s="368"/>
      <c r="B77" s="644"/>
      <c r="C77" s="646"/>
      <c r="D77" s="646"/>
      <c r="E77" s="242"/>
      <c r="F77" s="642"/>
      <c r="G77" s="631"/>
      <c r="H77" s="244"/>
      <c r="I77" s="643"/>
      <c r="J77" s="276"/>
      <c r="K77" s="277"/>
      <c r="L77" s="240"/>
      <c r="M77" s="240"/>
      <c r="N77" s="240"/>
      <c r="O77" s="247"/>
      <c r="P77" s="246"/>
      <c r="Q77" s="268"/>
      <c r="R77" s="269"/>
      <c r="S77" s="250" t="s">
        <v>662</v>
      </c>
      <c r="T77" s="332"/>
      <c r="U77" s="332"/>
      <c r="V77" s="252">
        <v>120</v>
      </c>
      <c r="W77" s="252">
        <v>79.825200000000009</v>
      </c>
      <c r="X77" s="252">
        <f>((SUM(X76:$AE76))*($L76+$M76))</f>
        <v>426.62880000000001</v>
      </c>
      <c r="Y77" s="252">
        <f>((SUM(Y76:$AE76))*($L76+$M76))</f>
        <v>255.97728000000001</v>
      </c>
      <c r="Z77" s="252">
        <f>((SUM(Z76:$AE76))*($L76+$M76))</f>
        <v>85.325760000000002</v>
      </c>
      <c r="AA77" s="278">
        <f>((SUM(AA76:$AE76))*($L76+$M76))</f>
        <v>0</v>
      </c>
      <c r="AB77" s="278">
        <f>((SUM(AB76:$AE76))*($L76+$M76))</f>
        <v>0</v>
      </c>
      <c r="AC77" s="278">
        <f>((SUM(AC76:$AE76))*($L76+$M76))</f>
        <v>0</v>
      </c>
      <c r="AD77" s="278">
        <f>((SUM(AD76:$AE76))*($L76+$M76))</f>
        <v>0</v>
      </c>
      <c r="AE77" s="278">
        <f>((SUM(AE76:$AE76))*($L76+$M76))</f>
        <v>0</v>
      </c>
      <c r="AF77" s="369">
        <f t="shared" si="2"/>
        <v>767.93183999999997</v>
      </c>
      <c r="AG77" s="236"/>
      <c r="AH77" s="236"/>
    </row>
    <row r="78" spans="1:34" s="254" customFormat="1" ht="13.2" customHeight="1" x14ac:dyDescent="0.2">
      <c r="A78" s="366">
        <v>27</v>
      </c>
      <c r="B78" s="639" t="s">
        <v>835</v>
      </c>
      <c r="C78" s="645" t="s">
        <v>836</v>
      </c>
      <c r="D78" s="645" t="s">
        <v>837</v>
      </c>
      <c r="E78" s="312"/>
      <c r="F78" s="625" t="s">
        <v>833</v>
      </c>
      <c r="G78" s="625" t="s">
        <v>838</v>
      </c>
      <c r="H78" s="222"/>
      <c r="I78" s="633">
        <v>8518.4</v>
      </c>
      <c r="J78" s="222"/>
      <c r="K78" s="224"/>
      <c r="L78" s="326">
        <f>$L$7</f>
        <v>1.6580000000000001E-2</v>
      </c>
      <c r="M78" s="226">
        <f>$M$7</f>
        <v>2.5000000000000001E-3</v>
      </c>
      <c r="N78" s="227"/>
      <c r="O78" s="228"/>
      <c r="P78" s="229"/>
      <c r="Q78" s="230"/>
      <c r="R78" s="231"/>
      <c r="S78" s="264" t="s">
        <v>660</v>
      </c>
      <c r="T78" s="234">
        <v>2844</v>
      </c>
      <c r="U78" s="234"/>
      <c r="V78" s="234">
        <v>1896</v>
      </c>
      <c r="W78" s="234">
        <v>1896</v>
      </c>
      <c r="X78" s="234">
        <v>948</v>
      </c>
      <c r="Y78" s="273">
        <v>0</v>
      </c>
      <c r="Z78" s="273">
        <v>0</v>
      </c>
      <c r="AA78" s="273">
        <v>0</v>
      </c>
      <c r="AB78" s="273">
        <v>0</v>
      </c>
      <c r="AC78" s="273">
        <v>0</v>
      </c>
      <c r="AD78" s="273">
        <v>0</v>
      </c>
      <c r="AE78" s="273">
        <v>0</v>
      </c>
      <c r="AF78" s="367">
        <f t="shared" si="2"/>
        <v>948</v>
      </c>
      <c r="AG78" s="236"/>
      <c r="AH78" s="236"/>
    </row>
    <row r="79" spans="1:34" s="254" customFormat="1" ht="15" thickBot="1" x14ac:dyDescent="0.35">
      <c r="A79" s="368"/>
      <c r="B79" s="640"/>
      <c r="C79" s="646"/>
      <c r="D79" s="646"/>
      <c r="E79" s="242"/>
      <c r="F79" s="626"/>
      <c r="G79" s="631"/>
      <c r="H79" s="244"/>
      <c r="I79" s="643"/>
      <c r="J79" s="276"/>
      <c r="K79" s="277"/>
      <c r="L79" s="240"/>
      <c r="M79" s="240"/>
      <c r="N79" s="240"/>
      <c r="O79" s="247"/>
      <c r="P79" s="246"/>
      <c r="Q79" s="268"/>
      <c r="R79" s="269"/>
      <c r="S79" s="250" t="s">
        <v>662</v>
      </c>
      <c r="T79" s="332"/>
      <c r="U79" s="332"/>
      <c r="V79" s="252">
        <v>125</v>
      </c>
      <c r="W79" s="252">
        <v>7.2522000000000002</v>
      </c>
      <c r="X79" s="252">
        <f>((SUM(X78:$AE78))*($L78+$M78))</f>
        <v>18.08784</v>
      </c>
      <c r="Y79" s="278">
        <f>((SUM(Y78:$AE78))*($L78+$M78))</f>
        <v>0</v>
      </c>
      <c r="Z79" s="278">
        <f>((SUM(Z78:$AE78))*($L78+$M78))</f>
        <v>0</v>
      </c>
      <c r="AA79" s="278">
        <f>((SUM(AA78:$AE78))*($L78+$M78))</f>
        <v>0</v>
      </c>
      <c r="AB79" s="278">
        <f>((SUM(AB78:$AE78))*($L78+$M78))</f>
        <v>0</v>
      </c>
      <c r="AC79" s="278">
        <f>((SUM(AC78:$AE78))*($L78+$M78))</f>
        <v>0</v>
      </c>
      <c r="AD79" s="278">
        <f>((SUM(AD78:$AE78))*($L78+$M78))</f>
        <v>0</v>
      </c>
      <c r="AE79" s="278">
        <f>((SUM(AE78:$AE78))*($L78+$M78))</f>
        <v>0</v>
      </c>
      <c r="AF79" s="369">
        <f t="shared" si="2"/>
        <v>18.08784</v>
      </c>
      <c r="AG79" s="236"/>
      <c r="AH79" s="236"/>
    </row>
    <row r="80" spans="1:34" s="254" customFormat="1" ht="13.2" customHeight="1" x14ac:dyDescent="0.2">
      <c r="A80" s="366">
        <v>28</v>
      </c>
      <c r="B80" s="639" t="s">
        <v>839</v>
      </c>
      <c r="C80" s="645" t="s">
        <v>840</v>
      </c>
      <c r="D80" s="645" t="s">
        <v>841</v>
      </c>
      <c r="E80" s="312"/>
      <c r="F80" s="641" t="s">
        <v>833</v>
      </c>
      <c r="G80" s="625" t="s">
        <v>842</v>
      </c>
      <c r="H80" s="222"/>
      <c r="I80" s="627">
        <v>238897.15</v>
      </c>
      <c r="J80" s="222"/>
      <c r="K80" s="224"/>
      <c r="L80" s="326">
        <f>$L$7</f>
        <v>1.6580000000000001E-2</v>
      </c>
      <c r="M80" s="226">
        <f>$M$7</f>
        <v>2.5000000000000001E-3</v>
      </c>
      <c r="N80" s="227"/>
      <c r="O80" s="228"/>
      <c r="P80" s="229"/>
      <c r="Q80" s="230"/>
      <c r="R80" s="231"/>
      <c r="S80" s="264" t="s">
        <v>660</v>
      </c>
      <c r="T80" s="234">
        <v>174900</v>
      </c>
      <c r="U80" s="234"/>
      <c r="V80" s="234">
        <v>10600</v>
      </c>
      <c r="W80" s="234">
        <v>10600</v>
      </c>
      <c r="X80" s="234">
        <v>10600</v>
      </c>
      <c r="Y80" s="234">
        <v>10600</v>
      </c>
      <c r="Z80" s="234">
        <v>10600</v>
      </c>
      <c r="AA80" s="234">
        <v>10600</v>
      </c>
      <c r="AB80" s="234">
        <v>10600</v>
      </c>
      <c r="AC80" s="234">
        <v>10600</v>
      </c>
      <c r="AD80" s="234">
        <v>10600</v>
      </c>
      <c r="AE80" s="234">
        <v>90100</v>
      </c>
      <c r="AF80" s="367">
        <f t="shared" si="2"/>
        <v>164300</v>
      </c>
      <c r="AG80" s="236"/>
      <c r="AH80" s="236"/>
    </row>
    <row r="81" spans="1:34" s="254" customFormat="1" ht="15" thickBot="1" x14ac:dyDescent="0.35">
      <c r="A81" s="368"/>
      <c r="B81" s="644"/>
      <c r="C81" s="646"/>
      <c r="D81" s="646"/>
      <c r="E81" s="242"/>
      <c r="F81" s="642"/>
      <c r="G81" s="631"/>
      <c r="H81" s="244"/>
      <c r="I81" s="643"/>
      <c r="J81" s="276"/>
      <c r="K81" s="277"/>
      <c r="L81" s="240"/>
      <c r="M81" s="240"/>
      <c r="N81" s="240"/>
      <c r="O81" s="247"/>
      <c r="P81" s="246"/>
      <c r="Q81" s="268"/>
      <c r="R81" s="269"/>
      <c r="S81" s="250" t="s">
        <v>662</v>
      </c>
      <c r="T81" s="332"/>
      <c r="U81" s="332"/>
      <c r="V81" s="252">
        <v>1000</v>
      </c>
      <c r="W81" s="252">
        <v>445.995</v>
      </c>
      <c r="X81" s="252">
        <f>((SUM(X80:$AE80))*($L80+$M80))</f>
        <v>3134.8440000000001</v>
      </c>
      <c r="Y81" s="252">
        <f>((SUM(Y80:$AE80))*($L80+$M80))</f>
        <v>2932.596</v>
      </c>
      <c r="Z81" s="252">
        <f>((SUM(Z80:$AE80))*($L80+$M80))</f>
        <v>2730.348</v>
      </c>
      <c r="AA81" s="252">
        <f>((SUM(AA80:$AE80))*($L80+$M80))</f>
        <v>2528.1</v>
      </c>
      <c r="AB81" s="252">
        <f>((SUM(AB80:$AE80))*($L80+$M80))</f>
        <v>2325.8519999999999</v>
      </c>
      <c r="AC81" s="252">
        <f>((SUM(AC80:$AE80))*($L80+$M80))</f>
        <v>2123.6039999999998</v>
      </c>
      <c r="AD81" s="252">
        <f>((SUM(AD80:$AE80))*($L80+$M80))</f>
        <v>1921.356</v>
      </c>
      <c r="AE81" s="252">
        <f>((SUM(AE80:$AE80))*($L80+$M80))*8.5</f>
        <v>14612.418</v>
      </c>
      <c r="AF81" s="369">
        <f t="shared" si="2"/>
        <v>32309.118000000002</v>
      </c>
      <c r="AG81" s="236"/>
      <c r="AH81" s="236"/>
    </row>
    <row r="82" spans="1:34" s="254" customFormat="1" ht="13.2" customHeight="1" x14ac:dyDescent="0.2">
      <c r="A82" s="366">
        <v>29</v>
      </c>
      <c r="B82" s="639" t="s">
        <v>843</v>
      </c>
      <c r="C82" s="645" t="s">
        <v>844</v>
      </c>
      <c r="D82" s="645" t="s">
        <v>845</v>
      </c>
      <c r="E82" s="312"/>
      <c r="F82" s="641" t="s">
        <v>833</v>
      </c>
      <c r="G82" s="625" t="s">
        <v>846</v>
      </c>
      <c r="H82" s="222"/>
      <c r="I82" s="627">
        <v>49472</v>
      </c>
      <c r="J82" s="222"/>
      <c r="K82" s="224"/>
      <c r="L82" s="326">
        <f>$L$7</f>
        <v>1.6580000000000001E-2</v>
      </c>
      <c r="M82" s="226">
        <f>$M$7</f>
        <v>2.5000000000000001E-3</v>
      </c>
      <c r="N82" s="227"/>
      <c r="O82" s="228"/>
      <c r="P82" s="229"/>
      <c r="Q82" s="230"/>
      <c r="R82" s="231"/>
      <c r="S82" s="264" t="s">
        <v>660</v>
      </c>
      <c r="T82" s="234">
        <v>39928</v>
      </c>
      <c r="U82" s="234"/>
      <c r="V82" s="234">
        <v>3472</v>
      </c>
      <c r="W82" s="234">
        <v>3472</v>
      </c>
      <c r="X82" s="234">
        <v>3472</v>
      </c>
      <c r="Y82" s="234">
        <v>3472</v>
      </c>
      <c r="Z82" s="234">
        <v>3472</v>
      </c>
      <c r="AA82" s="234">
        <v>3472</v>
      </c>
      <c r="AB82" s="234">
        <v>3472</v>
      </c>
      <c r="AC82" s="234">
        <v>3472</v>
      </c>
      <c r="AD82" s="234">
        <v>3472</v>
      </c>
      <c r="AE82" s="234">
        <v>12152</v>
      </c>
      <c r="AF82" s="367">
        <f t="shared" si="2"/>
        <v>36456</v>
      </c>
      <c r="AG82" s="236"/>
      <c r="AH82" s="236"/>
    </row>
    <row r="83" spans="1:34" s="254" customFormat="1" ht="15" thickBot="1" x14ac:dyDescent="0.35">
      <c r="A83" s="368"/>
      <c r="B83" s="644"/>
      <c r="C83" s="646"/>
      <c r="D83" s="646"/>
      <c r="E83" s="242"/>
      <c r="F83" s="642"/>
      <c r="G83" s="631"/>
      <c r="H83" s="244"/>
      <c r="I83" s="643"/>
      <c r="J83" s="276"/>
      <c r="K83" s="277"/>
      <c r="L83" s="240"/>
      <c r="M83" s="240"/>
      <c r="N83" s="240"/>
      <c r="O83" s="247"/>
      <c r="P83" s="246"/>
      <c r="Q83" s="268"/>
      <c r="R83" s="269"/>
      <c r="S83" s="250" t="s">
        <v>662</v>
      </c>
      <c r="T83" s="332"/>
      <c r="U83" s="332"/>
      <c r="V83" s="252">
        <v>125</v>
      </c>
      <c r="W83" s="252">
        <v>101.8164</v>
      </c>
      <c r="X83" s="252">
        <f>((SUM(X82:$AE82))*($L82+$M82))</f>
        <v>695.58047999999997</v>
      </c>
      <c r="Y83" s="252">
        <f>((SUM(Y82:$AE82))*($L82+$M82))</f>
        <v>629.33471999999995</v>
      </c>
      <c r="Z83" s="252">
        <f>((SUM(Z82:$AE82))*($L82+$M82))</f>
        <v>563.08896000000004</v>
      </c>
      <c r="AA83" s="252">
        <f>((SUM(AA82:$AE82))*($L82+$M82))</f>
        <v>496.84319999999997</v>
      </c>
      <c r="AB83" s="252">
        <f>((SUM(AB82:$AE82))*($L82+$M82))</f>
        <v>430.59744000000001</v>
      </c>
      <c r="AC83" s="252">
        <f>((SUM(AC82:$AE82))*($L82+$M82))</f>
        <v>364.35167999999999</v>
      </c>
      <c r="AD83" s="252">
        <f>((SUM(AD82:$AE82))*($L82+$M82))</f>
        <v>298.10591999999997</v>
      </c>
      <c r="AE83" s="252">
        <f>((SUM(AE82:$AE82))*($L82+$M82))*3.5</f>
        <v>811.51056000000005</v>
      </c>
      <c r="AF83" s="369">
        <f t="shared" si="2"/>
        <v>4289.4129599999997</v>
      </c>
      <c r="AG83" s="236"/>
      <c r="AH83" s="236"/>
    </row>
    <row r="84" spans="1:34" s="254" customFormat="1" ht="13.2" customHeight="1" x14ac:dyDescent="0.2">
      <c r="A84" s="366">
        <v>30</v>
      </c>
      <c r="B84" s="639" t="s">
        <v>847</v>
      </c>
      <c r="C84" s="645" t="s">
        <v>848</v>
      </c>
      <c r="D84" s="645" t="s">
        <v>849</v>
      </c>
      <c r="E84" s="312"/>
      <c r="F84" s="641" t="s">
        <v>833</v>
      </c>
      <c r="G84" s="625" t="s">
        <v>842</v>
      </c>
      <c r="H84" s="222"/>
      <c r="I84" s="627">
        <v>278611.39</v>
      </c>
      <c r="J84" s="222"/>
      <c r="K84" s="224"/>
      <c r="L84" s="326">
        <f>$L$7</f>
        <v>1.6580000000000001E-2</v>
      </c>
      <c r="M84" s="226">
        <f>$M$7</f>
        <v>2.5000000000000001E-3</v>
      </c>
      <c r="N84" s="227"/>
      <c r="O84" s="228"/>
      <c r="P84" s="229"/>
      <c r="Q84" s="230"/>
      <c r="R84" s="231"/>
      <c r="S84" s="264" t="s">
        <v>660</v>
      </c>
      <c r="T84" s="234">
        <v>238854</v>
      </c>
      <c r="U84" s="234"/>
      <c r="V84" s="234">
        <v>14476</v>
      </c>
      <c r="W84" s="234">
        <v>14476</v>
      </c>
      <c r="X84" s="234">
        <v>14476</v>
      </c>
      <c r="Y84" s="234">
        <v>14476</v>
      </c>
      <c r="Z84" s="234">
        <v>14476</v>
      </c>
      <c r="AA84" s="234">
        <v>14476</v>
      </c>
      <c r="AB84" s="234">
        <v>14476</v>
      </c>
      <c r="AC84" s="234">
        <v>14476</v>
      </c>
      <c r="AD84" s="234">
        <v>14476</v>
      </c>
      <c r="AE84" s="234">
        <v>123046</v>
      </c>
      <c r="AF84" s="367">
        <f t="shared" si="2"/>
        <v>224378</v>
      </c>
      <c r="AG84" s="236"/>
      <c r="AH84" s="236"/>
    </row>
    <row r="85" spans="1:34" s="254" customFormat="1" ht="15" thickBot="1" x14ac:dyDescent="0.35">
      <c r="A85" s="368"/>
      <c r="B85" s="644"/>
      <c r="C85" s="646"/>
      <c r="D85" s="646"/>
      <c r="E85" s="242"/>
      <c r="F85" s="642"/>
      <c r="G85" s="631"/>
      <c r="H85" s="244"/>
      <c r="I85" s="643"/>
      <c r="J85" s="276"/>
      <c r="K85" s="277"/>
      <c r="L85" s="240"/>
      <c r="M85" s="240"/>
      <c r="N85" s="240"/>
      <c r="O85" s="247"/>
      <c r="P85" s="246"/>
      <c r="Q85" s="268"/>
      <c r="R85" s="269"/>
      <c r="S85" s="250" t="s">
        <v>662</v>
      </c>
      <c r="T85" s="332"/>
      <c r="U85" s="332"/>
      <c r="V85" s="252">
        <v>120</v>
      </c>
      <c r="W85" s="252">
        <v>609.07770000000005</v>
      </c>
      <c r="X85" s="252">
        <f>((SUM(X84:$AE84))*($L84+$M84))</f>
        <v>4281.1322399999999</v>
      </c>
      <c r="Y85" s="252">
        <f>((SUM(Y84:$AE84))*($L84+$M84))</f>
        <v>4004.9301599999999</v>
      </c>
      <c r="Z85" s="252">
        <f>((SUM(Z84:$AE84))*($L84+$M84))</f>
        <v>3728.7280799999999</v>
      </c>
      <c r="AA85" s="252">
        <f>((SUM(AA84:$AE84))*($L84+$M84))</f>
        <v>3452.5259999999998</v>
      </c>
      <c r="AB85" s="252">
        <f>((SUM(AB84:$AE84))*($L84+$M84))</f>
        <v>3176.3239199999998</v>
      </c>
      <c r="AC85" s="252">
        <f>((SUM(AC84:$AE84))*($L84+$M84))</f>
        <v>2900.1218399999998</v>
      </c>
      <c r="AD85" s="252">
        <f>((SUM(AD84:$AE84))*($L84+$M84))</f>
        <v>2623.9197599999998</v>
      </c>
      <c r="AE85" s="252">
        <f>((SUM(AE84:$AE84))*($L84+$M84))*8.5</f>
        <v>19955.600279999999</v>
      </c>
      <c r="AF85" s="369">
        <f t="shared" si="2"/>
        <v>44123.282279999999</v>
      </c>
      <c r="AG85" s="236"/>
      <c r="AH85" s="236"/>
    </row>
    <row r="86" spans="1:34" s="254" customFormat="1" ht="13.2" customHeight="1" x14ac:dyDescent="0.2">
      <c r="A86" s="366">
        <v>31</v>
      </c>
      <c r="B86" s="639" t="s">
        <v>850</v>
      </c>
      <c r="C86" s="645" t="s">
        <v>851</v>
      </c>
      <c r="D86" s="645" t="s">
        <v>852</v>
      </c>
      <c r="E86" s="312"/>
      <c r="F86" s="641" t="s">
        <v>853</v>
      </c>
      <c r="G86" s="625" t="s">
        <v>854</v>
      </c>
      <c r="H86" s="222"/>
      <c r="I86" s="627">
        <v>34291</v>
      </c>
      <c r="J86" s="222"/>
      <c r="K86" s="224"/>
      <c r="L86" s="326">
        <f>$L$7</f>
        <v>1.6580000000000001E-2</v>
      </c>
      <c r="M86" s="226">
        <f>$M$7</f>
        <v>2.5000000000000001E-3</v>
      </c>
      <c r="N86" s="227"/>
      <c r="O86" s="228"/>
      <c r="P86" s="229"/>
      <c r="Q86" s="230"/>
      <c r="R86" s="231"/>
      <c r="S86" s="264" t="s">
        <v>660</v>
      </c>
      <c r="T86" s="234">
        <v>23266</v>
      </c>
      <c r="U86" s="234"/>
      <c r="V86" s="234">
        <v>3684</v>
      </c>
      <c r="W86" s="234">
        <v>3684</v>
      </c>
      <c r="X86" s="234">
        <v>3616</v>
      </c>
      <c r="Y86" s="234">
        <v>3548</v>
      </c>
      <c r="Z86" s="234">
        <v>3548</v>
      </c>
      <c r="AA86" s="234">
        <v>3548</v>
      </c>
      <c r="AB86" s="234">
        <v>3548</v>
      </c>
      <c r="AC86" s="234">
        <v>1774</v>
      </c>
      <c r="AD86" s="273">
        <v>0</v>
      </c>
      <c r="AE86" s="273">
        <v>0</v>
      </c>
      <c r="AF86" s="367">
        <f t="shared" si="2"/>
        <v>19582</v>
      </c>
      <c r="AG86" s="236"/>
      <c r="AH86" s="236"/>
    </row>
    <row r="87" spans="1:34" s="254" customFormat="1" ht="15" thickBot="1" x14ac:dyDescent="0.35">
      <c r="A87" s="368"/>
      <c r="B87" s="644"/>
      <c r="C87" s="646"/>
      <c r="D87" s="646"/>
      <c r="E87" s="242"/>
      <c r="F87" s="642"/>
      <c r="G87" s="631"/>
      <c r="H87" s="244"/>
      <c r="I87" s="643"/>
      <c r="J87" s="276"/>
      <c r="K87" s="277"/>
      <c r="L87" s="240"/>
      <c r="M87" s="240"/>
      <c r="N87" s="240"/>
      <c r="O87" s="247"/>
      <c r="P87" s="246"/>
      <c r="Q87" s="268"/>
      <c r="R87" s="269"/>
      <c r="S87" s="250" t="s">
        <v>662</v>
      </c>
      <c r="T87" s="332"/>
      <c r="U87" s="332"/>
      <c r="V87" s="252">
        <v>250</v>
      </c>
      <c r="W87" s="252">
        <v>59.328300000000006</v>
      </c>
      <c r="X87" s="252">
        <f>((SUM(X86:$AE86))*($L86+$M86))</f>
        <v>373.62455999999997</v>
      </c>
      <c r="Y87" s="252">
        <f>((SUM(Y86:$AE86))*($L86+$M86))</f>
        <v>304.63128</v>
      </c>
      <c r="Z87" s="252">
        <f>((SUM(Z86:$AE86))*($L86+$M86))</f>
        <v>236.93544</v>
      </c>
      <c r="AA87" s="252">
        <f>((SUM(AA86:$AE86))*($L86+$M86))</f>
        <v>169.2396</v>
      </c>
      <c r="AB87" s="252">
        <f>((SUM(AB86:$AE86))*($L86+$M86))</f>
        <v>101.54375999999999</v>
      </c>
      <c r="AC87" s="252">
        <f>((SUM(AC86:$AE86))*($L86+$M86))</f>
        <v>33.847920000000002</v>
      </c>
      <c r="AD87" s="278">
        <f>((SUM(AD86:$AE86))*($L86+$M86))</f>
        <v>0</v>
      </c>
      <c r="AE87" s="278">
        <f>((SUM(AE86:$AE86))*($L86+$M86))</f>
        <v>0</v>
      </c>
      <c r="AF87" s="369">
        <f t="shared" si="2"/>
        <v>1219.8225599999998</v>
      </c>
      <c r="AG87" s="236"/>
      <c r="AH87" s="236"/>
    </row>
    <row r="88" spans="1:34" s="254" customFormat="1" ht="13.2" customHeight="1" x14ac:dyDescent="0.2">
      <c r="A88" s="366">
        <v>32</v>
      </c>
      <c r="B88" s="639" t="s">
        <v>855</v>
      </c>
      <c r="C88" s="645" t="s">
        <v>856</v>
      </c>
      <c r="D88" s="645" t="s">
        <v>857</v>
      </c>
      <c r="E88" s="312"/>
      <c r="F88" s="641" t="s">
        <v>858</v>
      </c>
      <c r="G88" s="625" t="s">
        <v>859</v>
      </c>
      <c r="H88" s="222"/>
      <c r="I88" s="627">
        <v>3496295</v>
      </c>
      <c r="J88" s="222"/>
      <c r="K88" s="224"/>
      <c r="L88" s="326">
        <f>$L$7</f>
        <v>1.6580000000000001E-2</v>
      </c>
      <c r="M88" s="226">
        <f>$M$7</f>
        <v>2.5000000000000001E-3</v>
      </c>
      <c r="N88" s="227"/>
      <c r="O88" s="228"/>
      <c r="P88" s="229"/>
      <c r="Q88" s="230"/>
      <c r="R88" s="231"/>
      <c r="S88" s="264" t="s">
        <v>660</v>
      </c>
      <c r="T88" s="234">
        <v>3370393</v>
      </c>
      <c r="U88" s="234"/>
      <c r="V88" s="234">
        <v>125902</v>
      </c>
      <c r="W88" s="234">
        <v>125996</v>
      </c>
      <c r="X88" s="234">
        <v>125996</v>
      </c>
      <c r="Y88" s="234">
        <v>125996</v>
      </c>
      <c r="Z88" s="234">
        <v>125996</v>
      </c>
      <c r="AA88" s="234">
        <v>125996</v>
      </c>
      <c r="AB88" s="234">
        <v>125996</v>
      </c>
      <c r="AC88" s="234">
        <v>125996</v>
      </c>
      <c r="AD88" s="234">
        <v>125996</v>
      </c>
      <c r="AE88" s="234">
        <v>2362425</v>
      </c>
      <c r="AF88" s="367">
        <f t="shared" si="2"/>
        <v>3244397</v>
      </c>
      <c r="AG88" s="236"/>
      <c r="AH88" s="236"/>
    </row>
    <row r="89" spans="1:34" s="254" customFormat="1" ht="15" thickBot="1" x14ac:dyDescent="0.35">
      <c r="A89" s="368"/>
      <c r="B89" s="644"/>
      <c r="C89" s="646"/>
      <c r="D89" s="646"/>
      <c r="E89" s="242"/>
      <c r="F89" s="642"/>
      <c r="G89" s="631"/>
      <c r="H89" s="244"/>
      <c r="I89" s="643"/>
      <c r="J89" s="276"/>
      <c r="K89" s="277"/>
      <c r="L89" s="240"/>
      <c r="M89" s="240"/>
      <c r="N89" s="240"/>
      <c r="O89" s="247"/>
      <c r="P89" s="246"/>
      <c r="Q89" s="268"/>
      <c r="R89" s="269"/>
      <c r="S89" s="250" t="s">
        <v>662</v>
      </c>
      <c r="T89" s="332"/>
      <c r="U89" s="332"/>
      <c r="V89" s="252">
        <v>10000</v>
      </c>
      <c r="W89" s="252">
        <v>8493.3903600000012</v>
      </c>
      <c r="X89" s="252">
        <f>((SUM(X88:$AE88))*($L88+$M88))</f>
        <v>61903.09476</v>
      </c>
      <c r="Y89" s="252">
        <f>((SUM(Y88:$AE88))*($L88+$M88))</f>
        <v>59499.091079999998</v>
      </c>
      <c r="Z89" s="252">
        <f>((SUM(Z88:$AE88))*($L88+$M88))</f>
        <v>57095.087399999997</v>
      </c>
      <c r="AA89" s="252">
        <f>((SUM(AA88:$AE88))*($L88+$M88))</f>
        <v>54691.083720000002</v>
      </c>
      <c r="AB89" s="252">
        <f>((SUM(AB88:$AE88))*($L88+$M88))</f>
        <v>52287.080040000001</v>
      </c>
      <c r="AC89" s="252">
        <f>((SUM(AC88:$AE88))*($L88+$M88))</f>
        <v>49883.076359999999</v>
      </c>
      <c r="AD89" s="252">
        <f>((SUM(AD88:$AE88))*($L88+$M88))</f>
        <v>47479.072679999997</v>
      </c>
      <c r="AE89" s="252">
        <f>((SUM(AE88:$AE88))*($L88+$M88))*18</f>
        <v>811351.24199999997</v>
      </c>
      <c r="AF89" s="369">
        <f t="shared" si="2"/>
        <v>1194188.8280400001</v>
      </c>
      <c r="AG89" s="236"/>
      <c r="AH89" s="236"/>
    </row>
    <row r="90" spans="1:34" s="254" customFormat="1" ht="13.2" customHeight="1" x14ac:dyDescent="0.2">
      <c r="A90" s="366">
        <v>33</v>
      </c>
      <c r="B90" s="639" t="s">
        <v>860</v>
      </c>
      <c r="C90" s="645" t="s">
        <v>861</v>
      </c>
      <c r="D90" s="645" t="s">
        <v>862</v>
      </c>
      <c r="E90" s="312"/>
      <c r="F90" s="641" t="s">
        <v>858</v>
      </c>
      <c r="G90" s="625" t="s">
        <v>859</v>
      </c>
      <c r="H90" s="222"/>
      <c r="I90" s="627">
        <v>2614009</v>
      </c>
      <c r="J90" s="222"/>
      <c r="K90" s="224"/>
      <c r="L90" s="326">
        <f>$L$7</f>
        <v>1.6580000000000001E-2</v>
      </c>
      <c r="M90" s="226">
        <f>$M$7</f>
        <v>2.5000000000000001E-3</v>
      </c>
      <c r="N90" s="227"/>
      <c r="O90" s="228"/>
      <c r="P90" s="229"/>
      <c r="Q90" s="230"/>
      <c r="R90" s="231"/>
      <c r="S90" s="264" t="s">
        <v>660</v>
      </c>
      <c r="T90" s="234">
        <v>2519850</v>
      </c>
      <c r="U90" s="234"/>
      <c r="V90" s="234">
        <v>94159</v>
      </c>
      <c r="W90" s="234">
        <v>94200</v>
      </c>
      <c r="X90" s="234">
        <v>94200</v>
      </c>
      <c r="Y90" s="234">
        <v>94200</v>
      </c>
      <c r="Z90" s="234">
        <v>94200</v>
      </c>
      <c r="AA90" s="234">
        <v>94200</v>
      </c>
      <c r="AB90" s="234">
        <v>94200</v>
      </c>
      <c r="AC90" s="234">
        <v>94200</v>
      </c>
      <c r="AD90" s="234">
        <v>94200</v>
      </c>
      <c r="AE90" s="234">
        <v>1766250</v>
      </c>
      <c r="AF90" s="367">
        <f t="shared" si="2"/>
        <v>2425650</v>
      </c>
      <c r="AG90" s="236"/>
      <c r="AH90" s="236"/>
    </row>
    <row r="91" spans="1:34" s="254" customFormat="1" ht="15" thickBot="1" x14ac:dyDescent="0.35">
      <c r="A91" s="368"/>
      <c r="B91" s="644"/>
      <c r="C91" s="646"/>
      <c r="D91" s="646"/>
      <c r="E91" s="242"/>
      <c r="F91" s="642"/>
      <c r="G91" s="631"/>
      <c r="H91" s="244"/>
      <c r="I91" s="643"/>
      <c r="J91" s="276"/>
      <c r="K91" s="277"/>
      <c r="L91" s="240"/>
      <c r="M91" s="240"/>
      <c r="N91" s="240"/>
      <c r="O91" s="247"/>
      <c r="P91" s="246"/>
      <c r="Q91" s="268"/>
      <c r="R91" s="269"/>
      <c r="S91" s="250" t="s">
        <v>662</v>
      </c>
      <c r="T91" s="332"/>
      <c r="U91" s="332"/>
      <c r="V91" s="278">
        <v>0</v>
      </c>
      <c r="W91" s="252">
        <v>6350.0219999999999</v>
      </c>
      <c r="X91" s="252">
        <f>((SUM(X90:$AE90))*($L90+$M90))</f>
        <v>46281.402000000002</v>
      </c>
      <c r="Y91" s="252">
        <f>((SUM(Y90:$AE90))*($L90+$M90))</f>
        <v>44484.065999999999</v>
      </c>
      <c r="Z91" s="252">
        <f>((SUM(Z90:$AE90))*($L90+$M90))</f>
        <v>42686.729999999996</v>
      </c>
      <c r="AA91" s="252">
        <f>((SUM(AA90:$AE90))*($L90+$M90))</f>
        <v>40889.394</v>
      </c>
      <c r="AB91" s="252">
        <f>((SUM(AB90:$AE90))*($L90+$M90))</f>
        <v>39092.057999999997</v>
      </c>
      <c r="AC91" s="252">
        <f>((SUM(AC90:$AE90))*($L90+$M90))</f>
        <v>37294.722000000002</v>
      </c>
      <c r="AD91" s="252">
        <f>((SUM(AD90:$AE90))*($L90+$M90))</f>
        <v>35497.385999999999</v>
      </c>
      <c r="AE91" s="252">
        <f>((SUM(AE90:$AE90))*($L90+$M90))*18</f>
        <v>606600.9</v>
      </c>
      <c r="AF91" s="369">
        <f t="shared" si="2"/>
        <v>892826.65800000005</v>
      </c>
      <c r="AG91" s="236"/>
      <c r="AH91" s="236"/>
    </row>
    <row r="92" spans="1:34" s="254" customFormat="1" ht="13.2" customHeight="1" x14ac:dyDescent="0.2">
      <c r="A92" s="366">
        <v>34</v>
      </c>
      <c r="B92" s="639" t="s">
        <v>863</v>
      </c>
      <c r="C92" s="625" t="s">
        <v>864</v>
      </c>
      <c r="D92" s="625" t="s">
        <v>865</v>
      </c>
      <c r="E92" s="312"/>
      <c r="F92" s="629" t="s">
        <v>866</v>
      </c>
      <c r="G92" s="625" t="s">
        <v>867</v>
      </c>
      <c r="H92" s="222"/>
      <c r="I92" s="627">
        <v>190128</v>
      </c>
      <c r="J92" s="222"/>
      <c r="K92" s="224"/>
      <c r="L92" s="326">
        <f>$L$7</f>
        <v>1.6580000000000001E-2</v>
      </c>
      <c r="M92" s="226">
        <f>$M$7</f>
        <v>2.5000000000000001E-3</v>
      </c>
      <c r="N92" s="227"/>
      <c r="O92" s="228"/>
      <c r="P92" s="229"/>
      <c r="Q92" s="230"/>
      <c r="R92" s="231"/>
      <c r="S92" s="264" t="s">
        <v>660</v>
      </c>
      <c r="T92" s="234">
        <v>163346</v>
      </c>
      <c r="U92" s="234"/>
      <c r="V92" s="234">
        <v>9752</v>
      </c>
      <c r="W92" s="234">
        <v>9752</v>
      </c>
      <c r="X92" s="234">
        <v>9752</v>
      </c>
      <c r="Y92" s="234">
        <v>9752</v>
      </c>
      <c r="Z92" s="234">
        <v>9752</v>
      </c>
      <c r="AA92" s="234">
        <v>9752</v>
      </c>
      <c r="AB92" s="234">
        <v>9752</v>
      </c>
      <c r="AC92" s="234">
        <v>9752</v>
      </c>
      <c r="AD92" s="234">
        <v>9752</v>
      </c>
      <c r="AE92" s="234">
        <v>85330</v>
      </c>
      <c r="AF92" s="367">
        <f t="shared" si="2"/>
        <v>153594</v>
      </c>
      <c r="AG92" s="236"/>
      <c r="AH92" s="236"/>
    </row>
    <row r="93" spans="1:34" s="254" customFormat="1" ht="15" thickBot="1" x14ac:dyDescent="0.35">
      <c r="A93" s="368"/>
      <c r="B93" s="640"/>
      <c r="C93" s="626"/>
      <c r="D93" s="626"/>
      <c r="E93" s="242"/>
      <c r="F93" s="652"/>
      <c r="G93" s="631"/>
      <c r="H93" s="244"/>
      <c r="I93" s="643"/>
      <c r="J93" s="276"/>
      <c r="K93" s="277"/>
      <c r="L93" s="240"/>
      <c r="M93" s="240"/>
      <c r="N93" s="240"/>
      <c r="O93" s="247"/>
      <c r="P93" s="246"/>
      <c r="Q93" s="268"/>
      <c r="R93" s="269"/>
      <c r="S93" s="250" t="s">
        <v>662</v>
      </c>
      <c r="T93" s="332"/>
      <c r="U93" s="332"/>
      <c r="V93" s="252">
        <v>400</v>
      </c>
      <c r="W93" s="252">
        <v>411.63192000000004</v>
      </c>
      <c r="X93" s="252">
        <f>((SUM(X92:$AE92))*($L92+$M92))</f>
        <v>2930.5735199999999</v>
      </c>
      <c r="Y93" s="252">
        <f>((SUM(Y92:$AE92))*($L92+$M92))</f>
        <v>2744.5053600000001</v>
      </c>
      <c r="Z93" s="252">
        <f>((SUM(Z92:$AE92))*($L92+$M92))</f>
        <v>2558.4371999999998</v>
      </c>
      <c r="AA93" s="252">
        <f>((SUM(AA92:$AE92))*($L92+$M92))</f>
        <v>2372.36904</v>
      </c>
      <c r="AB93" s="252">
        <f>((SUM(AB92:$AE92))*($L92+$M92))</f>
        <v>2186.3008799999998</v>
      </c>
      <c r="AC93" s="252">
        <f>((SUM(AC92:$AE92))*($L92+$M92))</f>
        <v>2000.23272</v>
      </c>
      <c r="AD93" s="252">
        <f>((SUM(AD92:$AE92))*($L92+$M92))</f>
        <v>1814.1645599999999</v>
      </c>
      <c r="AE93" s="252">
        <f>((SUM(AE92:$AE92))*($L92+$M92))*8.8</f>
        <v>14327.248320000001</v>
      </c>
      <c r="AF93" s="369">
        <f t="shared" si="2"/>
        <v>30933.831599999998</v>
      </c>
      <c r="AG93" s="236"/>
      <c r="AH93" s="236"/>
    </row>
    <row r="94" spans="1:34" s="254" customFormat="1" ht="13.2" customHeight="1" x14ac:dyDescent="0.2">
      <c r="A94" s="366">
        <v>35</v>
      </c>
      <c r="B94" s="639" t="s">
        <v>868</v>
      </c>
      <c r="C94" s="645" t="s">
        <v>869</v>
      </c>
      <c r="D94" s="645" t="s">
        <v>870</v>
      </c>
      <c r="E94" s="312"/>
      <c r="F94" s="641" t="s">
        <v>773</v>
      </c>
      <c r="G94" s="625" t="s">
        <v>867</v>
      </c>
      <c r="H94" s="222"/>
      <c r="I94" s="627">
        <v>177076.43</v>
      </c>
      <c r="J94" s="222"/>
      <c r="K94" s="224"/>
      <c r="L94" s="326">
        <f>$L$7</f>
        <v>1.6580000000000001E-2</v>
      </c>
      <c r="M94" s="226">
        <f>$M$7</f>
        <v>2.5000000000000001E-3</v>
      </c>
      <c r="N94" s="227"/>
      <c r="O94" s="228"/>
      <c r="P94" s="229"/>
      <c r="Q94" s="230"/>
      <c r="R94" s="231"/>
      <c r="S94" s="264" t="s">
        <v>660</v>
      </c>
      <c r="T94" s="234">
        <v>154100</v>
      </c>
      <c r="U94" s="234"/>
      <c r="V94" s="234">
        <v>9200</v>
      </c>
      <c r="W94" s="234">
        <v>9200</v>
      </c>
      <c r="X94" s="234">
        <v>9200</v>
      </c>
      <c r="Y94" s="234">
        <v>9200</v>
      </c>
      <c r="Z94" s="234">
        <v>9200</v>
      </c>
      <c r="AA94" s="234">
        <v>9200</v>
      </c>
      <c r="AB94" s="234">
        <v>9200</v>
      </c>
      <c r="AC94" s="234">
        <v>9200</v>
      </c>
      <c r="AD94" s="234">
        <v>9200</v>
      </c>
      <c r="AE94" s="234">
        <v>80500</v>
      </c>
      <c r="AF94" s="367">
        <f t="shared" si="2"/>
        <v>144900</v>
      </c>
      <c r="AG94" s="236"/>
      <c r="AH94" s="236"/>
    </row>
    <row r="95" spans="1:34" s="254" customFormat="1" ht="15" thickBot="1" x14ac:dyDescent="0.35">
      <c r="A95" s="368"/>
      <c r="B95" s="644"/>
      <c r="C95" s="646"/>
      <c r="D95" s="646"/>
      <c r="E95" s="242"/>
      <c r="F95" s="651"/>
      <c r="G95" s="631"/>
      <c r="H95" s="244"/>
      <c r="I95" s="643"/>
      <c r="J95" s="276"/>
      <c r="K95" s="277"/>
      <c r="L95" s="240"/>
      <c r="M95" s="240"/>
      <c r="N95" s="240"/>
      <c r="O95" s="247"/>
      <c r="P95" s="246"/>
      <c r="Q95" s="268"/>
      <c r="R95" s="269"/>
      <c r="S95" s="250" t="s">
        <v>662</v>
      </c>
      <c r="T95" s="332"/>
      <c r="U95" s="332"/>
      <c r="V95" s="252">
        <v>400</v>
      </c>
      <c r="W95" s="252">
        <v>385.25</v>
      </c>
      <c r="X95" s="252">
        <f>((SUM(X94:$AE94))*($L94+$M94))</f>
        <v>2764.692</v>
      </c>
      <c r="Y95" s="252">
        <f>((SUM(Y94:$AE94))*($L94+$M94))</f>
        <v>2589.1559999999999</v>
      </c>
      <c r="Z95" s="252">
        <f>((SUM(Z94:$AE94))*($L94+$M94))</f>
        <v>2413.62</v>
      </c>
      <c r="AA95" s="252">
        <f>((SUM(AA94:$AE94))*($L94+$M94))</f>
        <v>2238.0839999999998</v>
      </c>
      <c r="AB95" s="252">
        <f>((SUM(AB94:$AE94))*($L94+$M94))</f>
        <v>2062.5479999999998</v>
      </c>
      <c r="AC95" s="252">
        <f>((SUM(AC94:$AE94))*($L94+$M94))</f>
        <v>1887.0119999999999</v>
      </c>
      <c r="AD95" s="252">
        <f>((SUM(AD94:$AE94))*($L94+$M94))</f>
        <v>1711.4759999999999</v>
      </c>
      <c r="AE95" s="252">
        <f>((SUM(AE94:$AE94))*($L94+$M94))*8.8</f>
        <v>13516.272000000001</v>
      </c>
      <c r="AF95" s="369">
        <f t="shared" si="2"/>
        <v>29182.86</v>
      </c>
      <c r="AG95" s="236"/>
      <c r="AH95" s="236"/>
    </row>
    <row r="96" spans="1:34" s="254" customFormat="1" ht="13.2" customHeight="1" x14ac:dyDescent="0.2">
      <c r="A96" s="366">
        <v>36</v>
      </c>
      <c r="B96" s="639" t="s">
        <v>871</v>
      </c>
      <c r="C96" s="645" t="s">
        <v>872</v>
      </c>
      <c r="D96" s="645" t="s">
        <v>873</v>
      </c>
      <c r="E96" s="312"/>
      <c r="F96" s="641" t="s">
        <v>874</v>
      </c>
      <c r="G96" s="625" t="s">
        <v>875</v>
      </c>
      <c r="H96" s="222"/>
      <c r="I96" s="627">
        <v>160577.24</v>
      </c>
      <c r="J96" s="222"/>
      <c r="K96" s="224"/>
      <c r="L96" s="326">
        <f>$L$7</f>
        <v>1.6580000000000001E-2</v>
      </c>
      <c r="M96" s="226">
        <f>$M$7</f>
        <v>2.5000000000000001E-3</v>
      </c>
      <c r="N96" s="227"/>
      <c r="O96" s="228"/>
      <c r="P96" s="229"/>
      <c r="Q96" s="230"/>
      <c r="R96" s="231"/>
      <c r="S96" s="264" t="s">
        <v>660</v>
      </c>
      <c r="T96" s="234">
        <v>140012</v>
      </c>
      <c r="U96" s="234"/>
      <c r="V96" s="234">
        <v>8236</v>
      </c>
      <c r="W96" s="234">
        <v>8236</v>
      </c>
      <c r="X96" s="234">
        <v>8236</v>
      </c>
      <c r="Y96" s="234">
        <v>8236</v>
      </c>
      <c r="Z96" s="234">
        <v>8236</v>
      </c>
      <c r="AA96" s="234">
        <v>8236</v>
      </c>
      <c r="AB96" s="234">
        <v>8236</v>
      </c>
      <c r="AC96" s="234">
        <v>8236</v>
      </c>
      <c r="AD96" s="234">
        <v>8236</v>
      </c>
      <c r="AE96" s="234">
        <v>74124</v>
      </c>
      <c r="AF96" s="367">
        <f t="shared" si="2"/>
        <v>131776</v>
      </c>
      <c r="AG96" s="236"/>
      <c r="AH96" s="236"/>
    </row>
    <row r="97" spans="1:34" s="254" customFormat="1" ht="15" thickBot="1" x14ac:dyDescent="0.35">
      <c r="A97" s="368"/>
      <c r="B97" s="644"/>
      <c r="C97" s="646"/>
      <c r="D97" s="646"/>
      <c r="E97" s="242"/>
      <c r="F97" s="647"/>
      <c r="G97" s="631"/>
      <c r="H97" s="244"/>
      <c r="I97" s="643"/>
      <c r="J97" s="276"/>
      <c r="K97" s="277"/>
      <c r="L97" s="240"/>
      <c r="M97" s="240"/>
      <c r="N97" s="240"/>
      <c r="O97" s="247"/>
      <c r="P97" s="246"/>
      <c r="Q97" s="268"/>
      <c r="R97" s="269"/>
      <c r="S97" s="250" t="s">
        <v>662</v>
      </c>
      <c r="T97" s="332"/>
      <c r="U97" s="332"/>
      <c r="V97" s="252">
        <v>250</v>
      </c>
      <c r="W97" s="252">
        <v>350.03000000000003</v>
      </c>
      <c r="X97" s="252">
        <f>((SUM(X96:$AE96))*($L96+$M96))</f>
        <v>2514.2860799999999</v>
      </c>
      <c r="Y97" s="252">
        <f>((SUM(Y96:$AE96))*($L96+$M96))</f>
        <v>2357.1432</v>
      </c>
      <c r="Z97" s="252">
        <f>((SUM(Z96:$AE96))*($L96+$M96))</f>
        <v>2200.0003200000001</v>
      </c>
      <c r="AA97" s="252">
        <f>((SUM(AA96:$AE96))*($L96+$M96))</f>
        <v>2042.85744</v>
      </c>
      <c r="AB97" s="252">
        <f>((SUM(AB96:$AE96))*($L96+$M96))</f>
        <v>1885.7145599999999</v>
      </c>
      <c r="AC97" s="252">
        <f>((SUM(AC96:$AE96))*($L96+$M96))</f>
        <v>1728.57168</v>
      </c>
      <c r="AD97" s="252">
        <f>((SUM(AD96:$AE96))*($L96+$M96))</f>
        <v>1571.4287999999999</v>
      </c>
      <c r="AE97" s="252">
        <f>((SUM(AE96:$AE96))*($L96+$M96))*8.8</f>
        <v>12445.716096000002</v>
      </c>
      <c r="AF97" s="369">
        <f t="shared" si="2"/>
        <v>26745.718176000002</v>
      </c>
      <c r="AG97" s="236"/>
      <c r="AH97" s="236"/>
    </row>
    <row r="98" spans="1:34" s="254" customFormat="1" ht="13.2" customHeight="1" x14ac:dyDescent="0.2">
      <c r="A98" s="366">
        <v>37</v>
      </c>
      <c r="B98" s="621" t="s">
        <v>876</v>
      </c>
      <c r="C98" s="623" t="s">
        <v>877</v>
      </c>
      <c r="D98" s="623" t="s">
        <v>878</v>
      </c>
      <c r="E98" s="312"/>
      <c r="F98" s="641" t="s">
        <v>879</v>
      </c>
      <c r="G98" s="625" t="s">
        <v>880</v>
      </c>
      <c r="H98" s="222"/>
      <c r="I98" s="633">
        <v>131127</v>
      </c>
      <c r="J98" s="222"/>
      <c r="K98" s="224"/>
      <c r="L98" s="326">
        <f>$L$7</f>
        <v>1.6580000000000001E-2</v>
      </c>
      <c r="M98" s="226">
        <f>$M$7</f>
        <v>2.5000000000000001E-3</v>
      </c>
      <c r="N98" s="227"/>
      <c r="O98" s="228"/>
      <c r="P98" s="229"/>
      <c r="Q98" s="230"/>
      <c r="R98" s="231"/>
      <c r="S98" s="264" t="s">
        <v>660</v>
      </c>
      <c r="T98" s="234">
        <v>114376</v>
      </c>
      <c r="U98" s="234"/>
      <c r="V98" s="234">
        <v>6728</v>
      </c>
      <c r="W98" s="234">
        <v>6728</v>
      </c>
      <c r="X98" s="234">
        <v>6728</v>
      </c>
      <c r="Y98" s="234">
        <v>6728</v>
      </c>
      <c r="Z98" s="234">
        <v>6728</v>
      </c>
      <c r="AA98" s="234">
        <v>6728</v>
      </c>
      <c r="AB98" s="234">
        <v>6728</v>
      </c>
      <c r="AC98" s="234">
        <v>6728</v>
      </c>
      <c r="AD98" s="234">
        <v>6728</v>
      </c>
      <c r="AE98" s="234">
        <v>60552</v>
      </c>
      <c r="AF98" s="367">
        <f t="shared" si="2"/>
        <v>107648</v>
      </c>
      <c r="AG98" s="236"/>
      <c r="AH98" s="236"/>
    </row>
    <row r="99" spans="1:34" s="254" customFormat="1" ht="15" thickBot="1" x14ac:dyDescent="0.35">
      <c r="A99" s="368"/>
      <c r="B99" s="648"/>
      <c r="C99" s="649"/>
      <c r="D99" s="649"/>
      <c r="E99" s="242"/>
      <c r="F99" s="647"/>
      <c r="G99" s="631"/>
      <c r="H99" s="244"/>
      <c r="I99" s="650"/>
      <c r="J99" s="276"/>
      <c r="K99" s="277"/>
      <c r="L99" s="240"/>
      <c r="M99" s="240"/>
      <c r="N99" s="240"/>
      <c r="O99" s="247"/>
      <c r="P99" s="246"/>
      <c r="Q99" s="268"/>
      <c r="R99" s="269"/>
      <c r="S99" s="250" t="s">
        <v>662</v>
      </c>
      <c r="T99" s="332"/>
      <c r="U99" s="332"/>
      <c r="V99" s="252">
        <v>360</v>
      </c>
      <c r="W99" s="252">
        <v>285.94</v>
      </c>
      <c r="X99" s="252">
        <f>((SUM(X98:$AE98))*($L98+$M98))</f>
        <v>2053.9238399999999</v>
      </c>
      <c r="Y99" s="252">
        <f>((SUM(Y98:$AE98))*($L98+$M98))</f>
        <v>1925.5536</v>
      </c>
      <c r="Z99" s="252">
        <f>((SUM(Z98:$AE98))*($L98+$M98))</f>
        <v>1797.18336</v>
      </c>
      <c r="AA99" s="252">
        <f>((SUM(AA98:$AE98))*($L98+$M98))</f>
        <v>1668.81312</v>
      </c>
      <c r="AB99" s="252">
        <f>((SUM(AB98:$AE98))*($L98+$M98))</f>
        <v>1540.4428800000001</v>
      </c>
      <c r="AC99" s="252">
        <f>((SUM(AC98:$AE98))*($L98+$M98))</f>
        <v>1412.0726400000001</v>
      </c>
      <c r="AD99" s="252">
        <f>((SUM(AD98:$AE98))*($L98+$M98))</f>
        <v>1283.7023999999999</v>
      </c>
      <c r="AE99" s="252">
        <f>((SUM(AE98:$AE98))*($L98+$M98))*9</f>
        <v>10397.989439999999</v>
      </c>
      <c r="AF99" s="369">
        <f t="shared" si="2"/>
        <v>22079.681279999997</v>
      </c>
      <c r="AG99" s="236"/>
      <c r="AH99" s="236"/>
    </row>
    <row r="100" spans="1:34" s="254" customFormat="1" ht="13.2" customHeight="1" x14ac:dyDescent="0.2">
      <c r="A100" s="366">
        <v>38</v>
      </c>
      <c r="B100" s="621" t="s">
        <v>881</v>
      </c>
      <c r="C100" s="623" t="s">
        <v>882</v>
      </c>
      <c r="D100" s="623" t="s">
        <v>883</v>
      </c>
      <c r="E100" s="312"/>
      <c r="F100" s="641" t="s">
        <v>884</v>
      </c>
      <c r="G100" s="625" t="s">
        <v>885</v>
      </c>
      <c r="H100" s="222"/>
      <c r="I100" s="633">
        <v>17365.23</v>
      </c>
      <c r="J100" s="222"/>
      <c r="K100" s="224"/>
      <c r="L100" s="326">
        <f>$L$7</f>
        <v>1.6580000000000001E-2</v>
      </c>
      <c r="M100" s="226">
        <f>$M$7</f>
        <v>2.5000000000000001E-3</v>
      </c>
      <c r="N100" s="227"/>
      <c r="O100" s="228"/>
      <c r="P100" s="229"/>
      <c r="Q100" s="230"/>
      <c r="R100" s="231"/>
      <c r="S100" s="264" t="s">
        <v>660</v>
      </c>
      <c r="T100" s="234">
        <v>14007</v>
      </c>
      <c r="U100" s="234"/>
      <c r="V100" s="234">
        <v>1932</v>
      </c>
      <c r="W100" s="234">
        <v>1932</v>
      </c>
      <c r="X100" s="234">
        <v>1932</v>
      </c>
      <c r="Y100" s="234">
        <v>1932</v>
      </c>
      <c r="Z100" s="234">
        <v>1932</v>
      </c>
      <c r="AA100" s="234">
        <v>1932</v>
      </c>
      <c r="AB100" s="234">
        <v>1932</v>
      </c>
      <c r="AC100" s="234">
        <v>1932</v>
      </c>
      <c r="AD100" s="234">
        <v>483</v>
      </c>
      <c r="AE100" s="273">
        <v>0</v>
      </c>
      <c r="AF100" s="367">
        <f t="shared" si="2"/>
        <v>12075</v>
      </c>
      <c r="AG100" s="236"/>
      <c r="AH100" s="236"/>
    </row>
    <row r="101" spans="1:34" s="254" customFormat="1" ht="15" thickBot="1" x14ac:dyDescent="0.35">
      <c r="A101" s="368"/>
      <c r="B101" s="648"/>
      <c r="C101" s="649"/>
      <c r="D101" s="649"/>
      <c r="E101" s="242"/>
      <c r="F101" s="647"/>
      <c r="G101" s="631"/>
      <c r="H101" s="244"/>
      <c r="I101" s="650"/>
      <c r="J101" s="276"/>
      <c r="K101" s="277"/>
      <c r="L101" s="240"/>
      <c r="M101" s="240"/>
      <c r="N101" s="240"/>
      <c r="O101" s="247"/>
      <c r="P101" s="246"/>
      <c r="Q101" s="268"/>
      <c r="R101" s="269"/>
      <c r="S101" s="250" t="s">
        <v>662</v>
      </c>
      <c r="T101" s="332"/>
      <c r="U101" s="332"/>
      <c r="V101" s="252">
        <v>360</v>
      </c>
      <c r="W101" s="252">
        <v>35.017499999999998</v>
      </c>
      <c r="X101" s="252">
        <f>((SUM(X100:$AE100))*($L100+$M100))</f>
        <v>230.39099999999999</v>
      </c>
      <c r="Y101" s="252">
        <f>((SUM(Y100:$AE100))*($L100+$M100))</f>
        <v>193.52843999999999</v>
      </c>
      <c r="Z101" s="252">
        <f>((SUM(Z100:$AE100))*($L100+$M100))</f>
        <v>156.66587999999999</v>
      </c>
      <c r="AA101" s="252">
        <f>((SUM(AA100:$AE100))*($L100+$M100))</f>
        <v>119.80332</v>
      </c>
      <c r="AB101" s="252">
        <f>((SUM(AB100:$AE100))*($L100+$M100))</f>
        <v>82.940759999999997</v>
      </c>
      <c r="AC101" s="252">
        <f>((SUM(AC100:$AE100))*($L100+$M100))</f>
        <v>46.078200000000002</v>
      </c>
      <c r="AD101" s="252">
        <f>((SUM(AD100:$AE100))*($L100+$M100))</f>
        <v>9.2156400000000005</v>
      </c>
      <c r="AE101" s="278">
        <f>((SUM(AE100:$AE100))*($L100+$M100))</f>
        <v>0</v>
      </c>
      <c r="AF101" s="369">
        <f t="shared" si="2"/>
        <v>838.62324000000001</v>
      </c>
      <c r="AG101" s="236"/>
      <c r="AH101" s="236"/>
    </row>
    <row r="102" spans="1:34" s="254" customFormat="1" ht="13.2" customHeight="1" x14ac:dyDescent="0.2">
      <c r="A102" s="366">
        <v>39</v>
      </c>
      <c r="B102" s="621" t="s">
        <v>886</v>
      </c>
      <c r="C102" s="623" t="s">
        <v>887</v>
      </c>
      <c r="D102" s="623" t="s">
        <v>888</v>
      </c>
      <c r="E102" s="312"/>
      <c r="F102" s="641" t="s">
        <v>889</v>
      </c>
      <c r="G102" s="625" t="s">
        <v>890</v>
      </c>
      <c r="H102" s="222"/>
      <c r="I102" s="633">
        <v>2227434</v>
      </c>
      <c r="J102" s="222"/>
      <c r="K102" s="224"/>
      <c r="L102" s="326">
        <f>$L$7</f>
        <v>1.6580000000000001E-2</v>
      </c>
      <c r="M102" s="226">
        <f>$M$7</f>
        <v>2.5000000000000001E-3</v>
      </c>
      <c r="N102" s="227"/>
      <c r="O102" s="228"/>
      <c r="P102" s="229"/>
      <c r="Q102" s="230"/>
      <c r="R102" s="231"/>
      <c r="S102" s="264" t="s">
        <v>660</v>
      </c>
      <c r="T102" s="234">
        <v>2149290</v>
      </c>
      <c r="U102" s="234"/>
      <c r="V102" s="234">
        <v>78144</v>
      </c>
      <c r="W102" s="234">
        <v>78156</v>
      </c>
      <c r="X102" s="234">
        <v>78156</v>
      </c>
      <c r="Y102" s="234">
        <v>78156</v>
      </c>
      <c r="Z102" s="234">
        <v>78156</v>
      </c>
      <c r="AA102" s="234">
        <v>78156</v>
      </c>
      <c r="AB102" s="234">
        <v>78156</v>
      </c>
      <c r="AC102" s="234">
        <v>78156</v>
      </c>
      <c r="AD102" s="234">
        <v>78156</v>
      </c>
      <c r="AE102" s="234">
        <v>1524042</v>
      </c>
      <c r="AF102" s="367">
        <f t="shared" si="2"/>
        <v>2071134</v>
      </c>
      <c r="AG102" s="236"/>
      <c r="AH102" s="236"/>
    </row>
    <row r="103" spans="1:34" s="254" customFormat="1" ht="15" thickBot="1" x14ac:dyDescent="0.35">
      <c r="A103" s="368"/>
      <c r="B103" s="648"/>
      <c r="C103" s="649"/>
      <c r="D103" s="649"/>
      <c r="E103" s="242"/>
      <c r="F103" s="647"/>
      <c r="G103" s="631"/>
      <c r="H103" s="244"/>
      <c r="I103" s="650"/>
      <c r="J103" s="276"/>
      <c r="K103" s="277"/>
      <c r="L103" s="240"/>
      <c r="M103" s="240"/>
      <c r="N103" s="240"/>
      <c r="O103" s="247"/>
      <c r="P103" s="246"/>
      <c r="Q103" s="268"/>
      <c r="R103" s="269"/>
      <c r="S103" s="250" t="s">
        <v>662</v>
      </c>
      <c r="T103" s="332"/>
      <c r="U103" s="332"/>
      <c r="V103" s="252">
        <v>4828.2325000000001</v>
      </c>
      <c r="W103" s="252">
        <v>5373.2250000000004</v>
      </c>
      <c r="X103" s="252">
        <f>((SUM(X102:$AE102))*($L102+$M102))</f>
        <v>39517.236720000001</v>
      </c>
      <c r="Y103" s="252">
        <f>((SUM(Y102:$AE102))*($L102+$M102))</f>
        <v>38026.020239999998</v>
      </c>
      <c r="Z103" s="252">
        <f>((SUM(Z102:$AE102))*($L102+$M102))</f>
        <v>36534.803760000003</v>
      </c>
      <c r="AA103" s="252">
        <f>((SUM(AA102:$AE102))*($L102+$M102))</f>
        <v>35043.58728</v>
      </c>
      <c r="AB103" s="252">
        <f>((SUM(AB102:$AE102))*($L102+$M102))</f>
        <v>33552.370799999997</v>
      </c>
      <c r="AC103" s="252">
        <f>((SUM(AC102:$AE102))*($L102+$M102))</f>
        <v>32061.154319999998</v>
      </c>
      <c r="AD103" s="252">
        <f>((SUM(AD102:$AE102))*($L102+$M102))</f>
        <v>30569.937839999999</v>
      </c>
      <c r="AE103" s="252">
        <f>((SUM(AE102:$AE102))*($L102+$M102))*19</f>
        <v>552495.70583999995</v>
      </c>
      <c r="AF103" s="369">
        <f t="shared" si="2"/>
        <v>797800.81679999991</v>
      </c>
      <c r="AG103" s="236"/>
      <c r="AH103" s="236"/>
    </row>
    <row r="104" spans="1:34" s="254" customFormat="1" ht="13.2" customHeight="1" x14ac:dyDescent="0.2">
      <c r="A104" s="366">
        <v>40</v>
      </c>
      <c r="B104" s="639" t="s">
        <v>891</v>
      </c>
      <c r="C104" s="645" t="s">
        <v>892</v>
      </c>
      <c r="D104" s="645" t="s">
        <v>893</v>
      </c>
      <c r="E104" s="312"/>
      <c r="F104" s="641" t="s">
        <v>894</v>
      </c>
      <c r="G104" s="625" t="s">
        <v>895</v>
      </c>
      <c r="H104" s="222"/>
      <c r="I104" s="627">
        <v>605017</v>
      </c>
      <c r="J104" s="222"/>
      <c r="K104" s="224"/>
      <c r="L104" s="326">
        <f>$L$7</f>
        <v>1.6580000000000001E-2</v>
      </c>
      <c r="M104" s="226">
        <f>$M$7</f>
        <v>2.5000000000000001E-3</v>
      </c>
      <c r="N104" s="227"/>
      <c r="O104" s="228"/>
      <c r="P104" s="229"/>
      <c r="Q104" s="230"/>
      <c r="R104" s="231"/>
      <c r="S104" s="264" t="s">
        <v>660</v>
      </c>
      <c r="T104" s="234">
        <v>568224</v>
      </c>
      <c r="U104" s="234"/>
      <c r="V104" s="234">
        <v>15714.46</v>
      </c>
      <c r="W104" s="234">
        <v>31568</v>
      </c>
      <c r="X104" s="234">
        <v>31568</v>
      </c>
      <c r="Y104" s="234">
        <v>31568</v>
      </c>
      <c r="Z104" s="234">
        <v>31568</v>
      </c>
      <c r="AA104" s="234">
        <v>31568</v>
      </c>
      <c r="AB104" s="234">
        <v>31568</v>
      </c>
      <c r="AC104" s="234">
        <v>31568</v>
      </c>
      <c r="AD104" s="234">
        <v>31568</v>
      </c>
      <c r="AE104" s="234">
        <v>315680</v>
      </c>
      <c r="AF104" s="367">
        <f t="shared" si="2"/>
        <v>536656</v>
      </c>
      <c r="AG104" s="236"/>
      <c r="AH104" s="236"/>
    </row>
    <row r="105" spans="1:34" s="254" customFormat="1" ht="15" thickBot="1" x14ac:dyDescent="0.35">
      <c r="A105" s="368"/>
      <c r="B105" s="644"/>
      <c r="C105" s="646"/>
      <c r="D105" s="646"/>
      <c r="E105" s="242"/>
      <c r="F105" s="647"/>
      <c r="G105" s="631"/>
      <c r="H105" s="244"/>
      <c r="I105" s="643"/>
      <c r="J105" s="276"/>
      <c r="K105" s="277"/>
      <c r="L105" s="240"/>
      <c r="M105" s="240"/>
      <c r="N105" s="240"/>
      <c r="O105" s="247"/>
      <c r="P105" s="246"/>
      <c r="Q105" s="268"/>
      <c r="R105" s="269"/>
      <c r="S105" s="250" t="s">
        <v>662</v>
      </c>
      <c r="T105" s="332"/>
      <c r="U105" s="332"/>
      <c r="V105" s="252">
        <v>1492.5425</v>
      </c>
      <c r="W105" s="252">
        <v>1431.9244800000001</v>
      </c>
      <c r="X105" s="252">
        <f>((SUM(X104:$AE104))*($L104+$M104))</f>
        <v>10239.396479999999</v>
      </c>
      <c r="Y105" s="252">
        <f>((SUM(Y104:$AE104))*($L104+$M104))</f>
        <v>9637.0790400000005</v>
      </c>
      <c r="Z105" s="252">
        <f>((SUM(Z104:$AE104))*($L104+$M104))</f>
        <v>9034.7615999999998</v>
      </c>
      <c r="AA105" s="252">
        <f>((SUM(AA104:$AE104))*($L104+$M104))</f>
        <v>8432.4441599999991</v>
      </c>
      <c r="AB105" s="252">
        <f>((SUM(AB104:$AE104))*($L104+$M104))</f>
        <v>7830.1267200000002</v>
      </c>
      <c r="AC105" s="252">
        <f>((SUM(AC104:$AE104))*($L104+$M104))</f>
        <v>7227.8092799999995</v>
      </c>
      <c r="AD105" s="252">
        <f>((SUM(AD104:$AE104))*($L104+$M104))</f>
        <v>6625.4918399999997</v>
      </c>
      <c r="AE105" s="252">
        <f>((SUM(AE104:$AE104))*($L104+$M104))*9</f>
        <v>54208.569600000003</v>
      </c>
      <c r="AF105" s="369">
        <f t="shared" si="2"/>
        <v>113235.67872</v>
      </c>
      <c r="AG105" s="236"/>
      <c r="AH105" s="236"/>
    </row>
    <row r="106" spans="1:34" s="254" customFormat="1" ht="13.2" customHeight="1" outlineLevel="1" x14ac:dyDescent="0.2">
      <c r="A106" s="366">
        <v>41</v>
      </c>
      <c r="B106" s="639" t="s">
        <v>896</v>
      </c>
      <c r="C106" s="625" t="s">
        <v>897</v>
      </c>
      <c r="D106" s="625" t="s">
        <v>898</v>
      </c>
      <c r="E106" s="312"/>
      <c r="F106" s="641" t="s">
        <v>899</v>
      </c>
      <c r="G106" s="625" t="s">
        <v>900</v>
      </c>
      <c r="H106" s="222"/>
      <c r="I106" s="633">
        <v>33731</v>
      </c>
      <c r="J106" s="222"/>
      <c r="K106" s="224"/>
      <c r="L106" s="326">
        <f>$L$7</f>
        <v>1.6580000000000001E-2</v>
      </c>
      <c r="M106" s="226">
        <f>$M$7</f>
        <v>2.5000000000000001E-3</v>
      </c>
      <c r="N106" s="227"/>
      <c r="O106" s="228"/>
      <c r="P106" s="229"/>
      <c r="Q106" s="230"/>
      <c r="R106" s="231"/>
      <c r="S106" s="264" t="s">
        <v>660</v>
      </c>
      <c r="T106" s="234">
        <v>31920</v>
      </c>
      <c r="U106" s="234"/>
      <c r="V106" s="234">
        <v>1811.17</v>
      </c>
      <c r="W106" s="234">
        <v>3648</v>
      </c>
      <c r="X106" s="234">
        <v>3648</v>
      </c>
      <c r="Y106" s="234">
        <v>3648</v>
      </c>
      <c r="Z106" s="234">
        <v>3648</v>
      </c>
      <c r="AA106" s="234">
        <v>3648</v>
      </c>
      <c r="AB106" s="234">
        <v>3648</v>
      </c>
      <c r="AC106" s="234">
        <v>3648</v>
      </c>
      <c r="AD106" s="234">
        <v>3648</v>
      </c>
      <c r="AE106" s="234">
        <v>2736</v>
      </c>
      <c r="AF106" s="367">
        <f t="shared" si="2"/>
        <v>28272</v>
      </c>
      <c r="AG106" s="236"/>
      <c r="AH106" s="236"/>
    </row>
    <row r="107" spans="1:34" s="254" customFormat="1" ht="15" outlineLevel="1" thickBot="1" x14ac:dyDescent="0.35">
      <c r="A107" s="368"/>
      <c r="B107" s="640"/>
      <c r="C107" s="626"/>
      <c r="D107" s="626"/>
      <c r="E107" s="242"/>
      <c r="F107" s="642"/>
      <c r="G107" s="631"/>
      <c r="H107" s="244"/>
      <c r="I107" s="643"/>
      <c r="J107" s="276"/>
      <c r="K107" s="277"/>
      <c r="L107" s="240"/>
      <c r="M107" s="240"/>
      <c r="N107" s="240"/>
      <c r="O107" s="247"/>
      <c r="P107" s="246"/>
      <c r="Q107" s="268"/>
      <c r="R107" s="269"/>
      <c r="S107" s="250" t="s">
        <v>662</v>
      </c>
      <c r="T107" s="332"/>
      <c r="U107" s="332"/>
      <c r="V107" s="252">
        <v>110</v>
      </c>
      <c r="W107" s="252"/>
      <c r="X107" s="252">
        <f>((SUM(X106:$AE106))*($L106+$M106))</f>
        <v>539.42975999999999</v>
      </c>
      <c r="Y107" s="252">
        <f>((SUM(Y106:$AE106))*($L106+$M106))</f>
        <v>469.82592</v>
      </c>
      <c r="Z107" s="252">
        <f>((SUM(Z106:$AE106))*($L106+$M106))</f>
        <v>400.22208000000001</v>
      </c>
      <c r="AA107" s="252">
        <f>((SUM(AA106:$AE106))*($L106+$M106))</f>
        <v>330.61824000000001</v>
      </c>
      <c r="AB107" s="252">
        <f>((SUM(AB106:$AE106))*($L106+$M106))</f>
        <v>261.01440000000002</v>
      </c>
      <c r="AC107" s="252">
        <f>((SUM(AC106:$AE106))*($L106+$M106))</f>
        <v>191.41056</v>
      </c>
      <c r="AD107" s="252">
        <f>((SUM(AD106:$AE106))*($L106+$M106))</f>
        <v>121.80672</v>
      </c>
      <c r="AE107" s="252">
        <f>((SUM(AE106:$AE106))*($L106+$M106))</f>
        <v>52.20288</v>
      </c>
      <c r="AF107" s="369">
        <f t="shared" si="2"/>
        <v>2366.5305599999997</v>
      </c>
      <c r="AG107" s="236"/>
      <c r="AH107" s="236"/>
    </row>
    <row r="108" spans="1:34" s="254" customFormat="1" ht="13.2" customHeight="1" x14ac:dyDescent="0.2">
      <c r="A108" s="366">
        <v>41</v>
      </c>
      <c r="B108" s="639" t="s">
        <v>901</v>
      </c>
      <c r="C108" s="625" t="s">
        <v>902</v>
      </c>
      <c r="D108" s="625" t="s">
        <v>903</v>
      </c>
      <c r="E108" s="312"/>
      <c r="F108" s="641" t="s">
        <v>904</v>
      </c>
      <c r="G108" s="625" t="s">
        <v>905</v>
      </c>
      <c r="H108" s="222"/>
      <c r="I108" s="633">
        <v>363119</v>
      </c>
      <c r="J108" s="222"/>
      <c r="K108" s="224"/>
      <c r="L108" s="326">
        <f>$L$7</f>
        <v>1.6580000000000001E-2</v>
      </c>
      <c r="M108" s="226">
        <f>$M$7</f>
        <v>2.5000000000000001E-3</v>
      </c>
      <c r="N108" s="227"/>
      <c r="O108" s="228"/>
      <c r="P108" s="229"/>
      <c r="Q108" s="230"/>
      <c r="R108" s="231"/>
      <c r="S108" s="264" t="s">
        <v>660</v>
      </c>
      <c r="T108" s="234">
        <v>352205</v>
      </c>
      <c r="U108" s="234"/>
      <c r="V108" s="273">
        <v>0</v>
      </c>
      <c r="W108" s="234">
        <v>18788</v>
      </c>
      <c r="X108" s="234">
        <v>18788</v>
      </c>
      <c r="Y108" s="234">
        <v>18788</v>
      </c>
      <c r="Z108" s="234">
        <v>18788</v>
      </c>
      <c r="AA108" s="234">
        <v>18788</v>
      </c>
      <c r="AB108" s="234">
        <v>18788</v>
      </c>
      <c r="AC108" s="234">
        <v>18788</v>
      </c>
      <c r="AD108" s="234">
        <v>18788</v>
      </c>
      <c r="AE108" s="234">
        <v>201901</v>
      </c>
      <c r="AF108" s="367">
        <f t="shared" si="2"/>
        <v>333417</v>
      </c>
      <c r="AG108" s="236"/>
      <c r="AH108" s="236"/>
    </row>
    <row r="109" spans="1:34" s="254" customFormat="1" ht="15" thickBot="1" x14ac:dyDescent="0.35">
      <c r="A109" s="368"/>
      <c r="B109" s="640"/>
      <c r="C109" s="626"/>
      <c r="D109" s="626"/>
      <c r="E109" s="242"/>
      <c r="F109" s="642"/>
      <c r="G109" s="631"/>
      <c r="H109" s="244"/>
      <c r="I109" s="643"/>
      <c r="J109" s="276"/>
      <c r="K109" s="277"/>
      <c r="L109" s="240"/>
      <c r="M109" s="240"/>
      <c r="N109" s="240"/>
      <c r="O109" s="247"/>
      <c r="P109" s="246"/>
      <c r="Q109" s="268"/>
      <c r="R109" s="269"/>
      <c r="S109" s="250" t="s">
        <v>662</v>
      </c>
      <c r="T109" s="332"/>
      <c r="U109" s="332"/>
      <c r="V109" s="252">
        <v>600</v>
      </c>
      <c r="W109" s="252">
        <v>887.5566</v>
      </c>
      <c r="X109" s="252">
        <f>((SUM(X108:$AE108))*($L108+$M108))</f>
        <v>6361.5963599999995</v>
      </c>
      <c r="Y109" s="252">
        <f>((SUM(Y108:$AE108))*($L108+$M108))</f>
        <v>6003.1213200000002</v>
      </c>
      <c r="Z109" s="252">
        <f>((SUM(Z108:$AE108))*($L108+$M108))</f>
        <v>5644.6462799999999</v>
      </c>
      <c r="AA109" s="252">
        <f>((SUM(AA108:$AE108))*($L108+$M108))</f>
        <v>5286.1712399999997</v>
      </c>
      <c r="AB109" s="252">
        <f>((SUM(AB108:$AE108))*($L108+$M108))</f>
        <v>4927.6962000000003</v>
      </c>
      <c r="AC109" s="252">
        <f>((SUM(AC108:$AE108))*($L108+$M108))</f>
        <v>4569.2211600000001</v>
      </c>
      <c r="AD109" s="252">
        <f>((SUM(AD108:$AE108))*($L108+$M108))</f>
        <v>4210.7461199999998</v>
      </c>
      <c r="AE109" s="252">
        <f>((SUM(AE108:$AE108))*($L108+$M108))*10</f>
        <v>38522.710800000001</v>
      </c>
      <c r="AF109" s="369">
        <f t="shared" si="2"/>
        <v>75525.909480000002</v>
      </c>
      <c r="AG109" s="236"/>
      <c r="AH109" s="236"/>
    </row>
    <row r="110" spans="1:34" s="254" customFormat="1" ht="13.2" customHeight="1" x14ac:dyDescent="0.2">
      <c r="A110" s="366">
        <v>42</v>
      </c>
      <c r="B110" s="639" t="s">
        <v>906</v>
      </c>
      <c r="C110" s="625" t="s">
        <v>907</v>
      </c>
      <c r="D110" s="625" t="s">
        <v>908</v>
      </c>
      <c r="E110" s="312"/>
      <c r="F110" s="641" t="s">
        <v>904</v>
      </c>
      <c r="G110" s="625" t="s">
        <v>909</v>
      </c>
      <c r="H110" s="222"/>
      <c r="I110" s="633">
        <v>824810</v>
      </c>
      <c r="J110" s="222"/>
      <c r="K110" s="224"/>
      <c r="L110" s="326">
        <f>$L$7</f>
        <v>1.6580000000000001E-2</v>
      </c>
      <c r="M110" s="226">
        <f>$M$7</f>
        <v>2.5000000000000001E-3</v>
      </c>
      <c r="N110" s="227"/>
      <c r="O110" s="228"/>
      <c r="P110" s="229"/>
      <c r="Q110" s="230"/>
      <c r="R110" s="231"/>
      <c r="S110" s="264" t="s">
        <v>660</v>
      </c>
      <c r="T110" s="234"/>
      <c r="U110" s="234"/>
      <c r="V110" s="273">
        <v>0</v>
      </c>
      <c r="W110" s="273">
        <v>0</v>
      </c>
      <c r="X110" s="234">
        <v>29693</v>
      </c>
      <c r="Y110" s="234">
        <v>29724</v>
      </c>
      <c r="Z110" s="234">
        <v>29724</v>
      </c>
      <c r="AA110" s="234">
        <v>29724</v>
      </c>
      <c r="AB110" s="234">
        <v>29724</v>
      </c>
      <c r="AC110" s="234">
        <v>29724</v>
      </c>
      <c r="AD110" s="234">
        <v>29724</v>
      </c>
      <c r="AE110" s="234">
        <v>616773</v>
      </c>
      <c r="AF110" s="367">
        <f t="shared" si="2"/>
        <v>824810</v>
      </c>
      <c r="AG110" s="236"/>
      <c r="AH110" s="236"/>
    </row>
    <row r="111" spans="1:34" s="254" customFormat="1" ht="15" thickBot="1" x14ac:dyDescent="0.35">
      <c r="A111" s="368"/>
      <c r="B111" s="640"/>
      <c r="C111" s="626"/>
      <c r="D111" s="626"/>
      <c r="E111" s="242"/>
      <c r="F111" s="642"/>
      <c r="G111" s="631"/>
      <c r="H111" s="244"/>
      <c r="I111" s="643"/>
      <c r="J111" s="276"/>
      <c r="K111" s="277"/>
      <c r="L111" s="240"/>
      <c r="M111" s="240"/>
      <c r="N111" s="240"/>
      <c r="O111" s="247"/>
      <c r="P111" s="246"/>
      <c r="Q111" s="268"/>
      <c r="R111" s="269"/>
      <c r="S111" s="250" t="s">
        <v>662</v>
      </c>
      <c r="T111" s="332"/>
      <c r="U111" s="332"/>
      <c r="V111" s="252">
        <v>1058</v>
      </c>
      <c r="W111" s="252">
        <v>3299.2400000000002</v>
      </c>
      <c r="X111" s="252">
        <f>((SUM(X110:$AE110))*($L110+$M110))</f>
        <v>15737.3748</v>
      </c>
      <c r="Y111" s="252">
        <f>((SUM(Y110:$AE110))*($L110+$M110))</f>
        <v>15170.83236</v>
      </c>
      <c r="Z111" s="252">
        <f>((SUM(Z110:$AE110))*($L110+$M110))</f>
        <v>14603.69844</v>
      </c>
      <c r="AA111" s="252">
        <f>((SUM(AA110:$AE110))*($L110+$M110))</f>
        <v>14036.56452</v>
      </c>
      <c r="AB111" s="252">
        <f>((SUM(AB110:$AE110))*($L110+$M110))</f>
        <v>13469.4306</v>
      </c>
      <c r="AC111" s="252">
        <f>((SUM(AC110:$AE110))*($L110+$M110))</f>
        <v>12902.296679999999</v>
      </c>
      <c r="AD111" s="252">
        <f>((SUM(AD110:$AE110))*($L110+$M110))</f>
        <v>12335.162759999999</v>
      </c>
      <c r="AE111" s="252">
        <f>((SUM(AE110:$AE110))*($L110+$M110))*20</f>
        <v>235360.57679999998</v>
      </c>
      <c r="AF111" s="369">
        <f t="shared" si="2"/>
        <v>333615.93695999996</v>
      </c>
      <c r="AG111" s="236"/>
      <c r="AH111" s="236"/>
    </row>
    <row r="112" spans="1:34" s="254" customFormat="1" ht="13.2" customHeight="1" x14ac:dyDescent="0.2">
      <c r="A112" s="366">
        <v>43</v>
      </c>
      <c r="B112" s="635" t="s">
        <v>910</v>
      </c>
      <c r="C112" s="637" t="s">
        <v>911</v>
      </c>
      <c r="D112" s="637" t="s">
        <v>912</v>
      </c>
      <c r="E112" s="312"/>
      <c r="F112" s="629" t="s">
        <v>913</v>
      </c>
      <c r="G112" s="625" t="s">
        <v>914</v>
      </c>
      <c r="H112" s="222"/>
      <c r="I112" s="627">
        <v>9703992</v>
      </c>
      <c r="J112" s="222"/>
      <c r="K112" s="224"/>
      <c r="L112" s="326">
        <f>$L$7</f>
        <v>1.6580000000000001E-2</v>
      </c>
      <c r="M112" s="226">
        <f>$M$7</f>
        <v>2.5000000000000001E-3</v>
      </c>
      <c r="N112" s="227"/>
      <c r="O112" s="228"/>
      <c r="P112" s="229"/>
      <c r="Q112" s="230"/>
      <c r="R112" s="231"/>
      <c r="S112" s="264" t="s">
        <v>660</v>
      </c>
      <c r="T112" s="234"/>
      <c r="U112" s="234"/>
      <c r="V112" s="273">
        <v>0</v>
      </c>
      <c r="W112" s="273">
        <v>0</v>
      </c>
      <c r="X112" s="234">
        <v>343399</v>
      </c>
      <c r="Y112" s="234">
        <v>343508</v>
      </c>
      <c r="Z112" s="234">
        <v>343508</v>
      </c>
      <c r="AA112" s="234">
        <v>343508</v>
      </c>
      <c r="AB112" s="234">
        <v>343508</v>
      </c>
      <c r="AC112" s="234">
        <v>343508</v>
      </c>
      <c r="AD112" s="234">
        <v>343508</v>
      </c>
      <c r="AE112" s="234">
        <v>7299545</v>
      </c>
      <c r="AF112" s="367">
        <f t="shared" si="2"/>
        <v>9703992</v>
      </c>
      <c r="AG112" s="236"/>
      <c r="AH112" s="236"/>
    </row>
    <row r="113" spans="1:34" s="254" customFormat="1" ht="15" thickBot="1" x14ac:dyDescent="0.35">
      <c r="A113" s="368"/>
      <c r="B113" s="636"/>
      <c r="C113" s="638"/>
      <c r="D113" s="638"/>
      <c r="E113" s="242"/>
      <c r="F113" s="630"/>
      <c r="G113" s="631"/>
      <c r="H113" s="244"/>
      <c r="I113" s="628"/>
      <c r="J113" s="276"/>
      <c r="K113" s="277"/>
      <c r="L113" s="240"/>
      <c r="M113" s="240"/>
      <c r="N113" s="240"/>
      <c r="O113" s="247"/>
      <c r="P113" s="246"/>
      <c r="Q113" s="268"/>
      <c r="R113" s="269"/>
      <c r="S113" s="250" t="s">
        <v>662</v>
      </c>
      <c r="T113" s="332"/>
      <c r="U113" s="332"/>
      <c r="V113" s="252">
        <v>3000</v>
      </c>
      <c r="W113" s="252">
        <v>24259.98</v>
      </c>
      <c r="X113" s="252">
        <f>((SUM(X112:$AE112))*($L112+$M112))</f>
        <v>185152.16735999999</v>
      </c>
      <c r="Y113" s="252">
        <f>((SUM(Y112:$AE112))*($L112+$M112))</f>
        <v>178600.11444</v>
      </c>
      <c r="Z113" s="252">
        <f>((SUM(Z112:$AE112))*($L112+$M112))</f>
        <v>172045.98180000001</v>
      </c>
      <c r="AA113" s="252">
        <f>((SUM(AA112:$AE112))*($L112+$M112))</f>
        <v>165491.84915999998</v>
      </c>
      <c r="AB113" s="252">
        <f>((SUM(AB112:$AE112))*($L112+$M112))</f>
        <v>158937.71651999999</v>
      </c>
      <c r="AC113" s="252">
        <f>((SUM(AC112:$AE112))*($L112+$M112))</f>
        <v>152383.58387999999</v>
      </c>
      <c r="AD113" s="252">
        <f>((SUM(AD112:$AE112))*($L112+$M112))</f>
        <v>145829.45123999999</v>
      </c>
      <c r="AE113" s="252">
        <f>((SUM(AE112:$AE112))*($L112+$M112))*21</f>
        <v>2924781.6905999999</v>
      </c>
      <c r="AF113" s="369">
        <f t="shared" si="2"/>
        <v>4083222.5549999997</v>
      </c>
      <c r="AG113" s="236"/>
      <c r="AH113" s="236"/>
    </row>
    <row r="114" spans="1:34" s="254" customFormat="1" ht="13.2" customHeight="1" x14ac:dyDescent="0.2">
      <c r="A114" s="366">
        <v>44</v>
      </c>
      <c r="B114" s="635" t="s">
        <v>915</v>
      </c>
      <c r="C114" s="637" t="s">
        <v>916</v>
      </c>
      <c r="D114" s="637" t="s">
        <v>917</v>
      </c>
      <c r="E114" s="312"/>
      <c r="F114" s="629" t="s">
        <v>913</v>
      </c>
      <c r="G114" s="625" t="s">
        <v>918</v>
      </c>
      <c r="H114" s="222"/>
      <c r="I114" s="633">
        <v>43430</v>
      </c>
      <c r="J114" s="222"/>
      <c r="K114" s="224"/>
      <c r="L114" s="326">
        <f>$L$7</f>
        <v>1.6580000000000001E-2</v>
      </c>
      <c r="M114" s="226">
        <f>$M$7</f>
        <v>2.5000000000000001E-3</v>
      </c>
      <c r="N114" s="227"/>
      <c r="O114" s="228"/>
      <c r="P114" s="229"/>
      <c r="Q114" s="230"/>
      <c r="R114" s="231"/>
      <c r="S114" s="264" t="s">
        <v>660</v>
      </c>
      <c r="T114" s="234">
        <v>43430</v>
      </c>
      <c r="U114" s="234"/>
      <c r="V114" s="273">
        <v>0</v>
      </c>
      <c r="W114" s="234">
        <v>4688</v>
      </c>
      <c r="X114" s="234">
        <v>4696</v>
      </c>
      <c r="Y114" s="234">
        <v>4696</v>
      </c>
      <c r="Z114" s="234">
        <v>4696</v>
      </c>
      <c r="AA114" s="234">
        <v>4696</v>
      </c>
      <c r="AB114" s="234">
        <v>4696</v>
      </c>
      <c r="AC114" s="234">
        <v>4696</v>
      </c>
      <c r="AD114" s="234">
        <v>4696</v>
      </c>
      <c r="AE114" s="234">
        <v>5870</v>
      </c>
      <c r="AF114" s="367">
        <f t="shared" si="2"/>
        <v>38742</v>
      </c>
      <c r="AG114" s="236"/>
      <c r="AH114" s="236"/>
    </row>
    <row r="115" spans="1:34" s="254" customFormat="1" ht="15" thickBot="1" x14ac:dyDescent="0.35">
      <c r="A115" s="368"/>
      <c r="B115" s="636"/>
      <c r="C115" s="638"/>
      <c r="D115" s="638"/>
      <c r="E115" s="242"/>
      <c r="F115" s="630"/>
      <c r="G115" s="631"/>
      <c r="H115" s="244"/>
      <c r="I115" s="634"/>
      <c r="J115" s="276"/>
      <c r="K115" s="277"/>
      <c r="L115" s="240"/>
      <c r="M115" s="240"/>
      <c r="N115" s="240"/>
      <c r="O115" s="247"/>
      <c r="P115" s="246"/>
      <c r="Q115" s="268"/>
      <c r="R115" s="269"/>
      <c r="S115" s="250" t="s">
        <v>662</v>
      </c>
      <c r="T115" s="332"/>
      <c r="U115" s="332"/>
      <c r="V115" s="252">
        <v>80</v>
      </c>
      <c r="W115" s="252">
        <v>823</v>
      </c>
      <c r="X115" s="252">
        <f>((SUM(X114:$AE114))*($L114+$M114))</f>
        <v>739.19736</v>
      </c>
      <c r="Y115" s="252">
        <f>((SUM(Y114:$AE114))*($L114+$M114))</f>
        <v>649.59767999999997</v>
      </c>
      <c r="Z115" s="252">
        <f>((SUM(Z114:$AE114))*($L114+$M114))</f>
        <v>559.99800000000005</v>
      </c>
      <c r="AA115" s="252">
        <f>((SUM(AA114:$AE114))*($L114+$M114))</f>
        <v>470.39832000000001</v>
      </c>
      <c r="AB115" s="252">
        <f>((SUM(AB114:$AE114))*($L114+$M114))</f>
        <v>380.79863999999998</v>
      </c>
      <c r="AC115" s="252">
        <f>((SUM(AC114:$AE114))*($L114+$M114))</f>
        <v>291.19896</v>
      </c>
      <c r="AD115" s="252">
        <f>((SUM(AD114:$AE114))*($L114+$M114))</f>
        <v>201.59927999999999</v>
      </c>
      <c r="AE115" s="252">
        <f>((SUM(AE114:$AE114))*($L114+$M114))*2</f>
        <v>223.9992</v>
      </c>
      <c r="AF115" s="369">
        <f t="shared" si="2"/>
        <v>3516.7874400000001</v>
      </c>
      <c r="AG115" s="236"/>
      <c r="AH115" s="236"/>
    </row>
    <row r="116" spans="1:34" s="254" customFormat="1" ht="13.2" customHeight="1" x14ac:dyDescent="0.2">
      <c r="A116" s="366">
        <v>45</v>
      </c>
      <c r="B116" s="621" t="s">
        <v>919</v>
      </c>
      <c r="C116" s="623" t="s">
        <v>920</v>
      </c>
      <c r="D116" s="623" t="s">
        <v>921</v>
      </c>
      <c r="E116" s="312"/>
      <c r="F116" s="629" t="s">
        <v>922</v>
      </c>
      <c r="G116" s="625" t="s">
        <v>923</v>
      </c>
      <c r="H116" s="222"/>
      <c r="I116" s="633">
        <v>195366</v>
      </c>
      <c r="J116" s="222"/>
      <c r="K116" s="224"/>
      <c r="L116" s="326">
        <f>$L$7</f>
        <v>1.6580000000000001E-2</v>
      </c>
      <c r="M116" s="226">
        <f>$M$7</f>
        <v>2.5000000000000001E-3</v>
      </c>
      <c r="N116" s="227"/>
      <c r="O116" s="228"/>
      <c r="P116" s="229"/>
      <c r="Q116" s="230"/>
      <c r="R116" s="231"/>
      <c r="S116" s="264" t="s">
        <v>660</v>
      </c>
      <c r="T116" s="234">
        <v>195366</v>
      </c>
      <c r="U116" s="234"/>
      <c r="V116" s="273">
        <v>0</v>
      </c>
      <c r="W116" s="234">
        <v>86826</v>
      </c>
      <c r="X116" s="234">
        <v>86832</v>
      </c>
      <c r="Y116" s="234">
        <v>21708</v>
      </c>
      <c r="Z116" s="273">
        <v>0</v>
      </c>
      <c r="AA116" s="273">
        <v>0</v>
      </c>
      <c r="AB116" s="273">
        <v>0</v>
      </c>
      <c r="AC116" s="273">
        <v>0</v>
      </c>
      <c r="AD116" s="273">
        <v>0</v>
      </c>
      <c r="AE116" s="273">
        <v>0</v>
      </c>
      <c r="AF116" s="367">
        <f t="shared" si="2"/>
        <v>108540</v>
      </c>
      <c r="AG116" s="236"/>
      <c r="AH116" s="236"/>
    </row>
    <row r="117" spans="1:34" s="254" customFormat="1" ht="15" thickBot="1" x14ac:dyDescent="0.35">
      <c r="A117" s="368"/>
      <c r="B117" s="622"/>
      <c r="C117" s="624"/>
      <c r="D117" s="624"/>
      <c r="E117" s="242"/>
      <c r="F117" s="630"/>
      <c r="G117" s="631"/>
      <c r="H117" s="244"/>
      <c r="I117" s="634"/>
      <c r="J117" s="276"/>
      <c r="K117" s="277"/>
      <c r="L117" s="240"/>
      <c r="M117" s="240"/>
      <c r="N117" s="240"/>
      <c r="O117" s="247"/>
      <c r="P117" s="246"/>
      <c r="Q117" s="268"/>
      <c r="R117" s="269"/>
      <c r="S117" s="250" t="s">
        <v>662</v>
      </c>
      <c r="T117" s="332"/>
      <c r="U117" s="332"/>
      <c r="V117" s="252">
        <v>500</v>
      </c>
      <c r="W117" s="252">
        <v>488.41500000000002</v>
      </c>
      <c r="X117" s="252">
        <f>((SUM(X116:$AE116))*($L116+$M116))</f>
        <v>2070.9432000000002</v>
      </c>
      <c r="Y117" s="252">
        <f>((SUM(Y116:$AE116))*($L116+$M116))</f>
        <v>414.18864000000002</v>
      </c>
      <c r="Z117" s="278">
        <f>((SUM(Z116:$AE116))*($L116+$M116))</f>
        <v>0</v>
      </c>
      <c r="AA117" s="278">
        <f>((SUM(AA116:$AE116))*($L116+$M116))</f>
        <v>0</v>
      </c>
      <c r="AB117" s="278">
        <f>((SUM(AB116:$AE116))*($L116+$M116))</f>
        <v>0</v>
      </c>
      <c r="AC117" s="278">
        <f>((SUM(AC116:$AE116))*($L116+$M116))</f>
        <v>0</v>
      </c>
      <c r="AD117" s="278">
        <f>((SUM(AD116:$AE116))*($L116+$M116))</f>
        <v>0</v>
      </c>
      <c r="AE117" s="278">
        <f>((SUM(AE116:$AE116))*($L116+$M116))</f>
        <v>0</v>
      </c>
      <c r="AF117" s="369">
        <f t="shared" si="2"/>
        <v>2485.13184</v>
      </c>
      <c r="AG117" s="236"/>
      <c r="AH117" s="236"/>
    </row>
    <row r="118" spans="1:34" s="254" customFormat="1" ht="13.2" customHeight="1" x14ac:dyDescent="0.2">
      <c r="A118" s="366">
        <v>46</v>
      </c>
      <c r="B118" s="635" t="s">
        <v>924</v>
      </c>
      <c r="C118" s="637" t="s">
        <v>925</v>
      </c>
      <c r="D118" s="637" t="s">
        <v>926</v>
      </c>
      <c r="E118" s="312"/>
      <c r="F118" s="629" t="s">
        <v>927</v>
      </c>
      <c r="G118" s="625" t="s">
        <v>928</v>
      </c>
      <c r="H118" s="222"/>
      <c r="I118" s="633">
        <v>617703</v>
      </c>
      <c r="J118" s="222"/>
      <c r="K118" s="224"/>
      <c r="L118" s="326">
        <f>$L$7</f>
        <v>1.6580000000000001E-2</v>
      </c>
      <c r="M118" s="226">
        <f>$M$7</f>
        <v>2.5000000000000001E-3</v>
      </c>
      <c r="N118" s="227"/>
      <c r="O118" s="228"/>
      <c r="P118" s="229"/>
      <c r="Q118" s="230"/>
      <c r="R118" s="231"/>
      <c r="S118" s="264" t="s">
        <v>660</v>
      </c>
      <c r="T118" s="234">
        <v>617703</v>
      </c>
      <c r="U118" s="234"/>
      <c r="V118" s="273">
        <v>0</v>
      </c>
      <c r="W118" s="234">
        <v>20913</v>
      </c>
      <c r="X118" s="234">
        <v>20940</v>
      </c>
      <c r="Y118" s="234">
        <v>20940</v>
      </c>
      <c r="Z118" s="234">
        <v>20940</v>
      </c>
      <c r="AA118" s="234">
        <v>20940</v>
      </c>
      <c r="AB118" s="234">
        <v>20940</v>
      </c>
      <c r="AC118" s="234">
        <v>20940</v>
      </c>
      <c r="AD118" s="234">
        <v>20940</v>
      </c>
      <c r="AE118" s="234">
        <v>450210</v>
      </c>
      <c r="AF118" s="367">
        <f t="shared" si="2"/>
        <v>596790</v>
      </c>
      <c r="AG118" s="236"/>
      <c r="AH118" s="236"/>
    </row>
    <row r="119" spans="1:34" s="254" customFormat="1" ht="15" thickBot="1" x14ac:dyDescent="0.35">
      <c r="A119" s="368"/>
      <c r="B119" s="636"/>
      <c r="C119" s="638"/>
      <c r="D119" s="638"/>
      <c r="E119" s="242"/>
      <c r="F119" s="630"/>
      <c r="G119" s="631"/>
      <c r="H119" s="244"/>
      <c r="I119" s="634"/>
      <c r="J119" s="276"/>
      <c r="K119" s="277"/>
      <c r="L119" s="240"/>
      <c r="M119" s="240"/>
      <c r="N119" s="240"/>
      <c r="O119" s="247"/>
      <c r="P119" s="246"/>
      <c r="Q119" s="268"/>
      <c r="R119" s="269"/>
      <c r="S119" s="250" t="s">
        <v>662</v>
      </c>
      <c r="T119" s="332"/>
      <c r="U119" s="332"/>
      <c r="V119" s="252">
        <v>1000</v>
      </c>
      <c r="W119" s="252">
        <v>1544.2574999999999</v>
      </c>
      <c r="X119" s="252">
        <f>((SUM(X118:$AE118))*($L118+$M118))</f>
        <v>11386.753199999999</v>
      </c>
      <c r="Y119" s="252">
        <f>((SUM(Y118:$AE118))*($L118+$M118))</f>
        <v>10987.218000000001</v>
      </c>
      <c r="Z119" s="252">
        <f>((SUM(Z118:$AE118))*($L118+$M118))</f>
        <v>10587.6828</v>
      </c>
      <c r="AA119" s="252">
        <f>((SUM(AA118:$AE118))*($L118+$M118))</f>
        <v>10188.1476</v>
      </c>
      <c r="AB119" s="252">
        <f>((SUM(AB118:$AE118))*($L118+$M118))</f>
        <v>9788.6124</v>
      </c>
      <c r="AC119" s="252">
        <f>((SUM(AC118:$AE118))*($L118+$M118))</f>
        <v>9389.0771999999997</v>
      </c>
      <c r="AD119" s="252">
        <f>((SUM(AD118:$AE118))*($L118+$M118))</f>
        <v>8989.5419999999995</v>
      </c>
      <c r="AE119" s="252">
        <f>((SUM(AE118:$AE118))*($L118+$M118))*21</f>
        <v>180390.14279999997</v>
      </c>
      <c r="AF119" s="369">
        <f t="shared" si="2"/>
        <v>251707.17599999998</v>
      </c>
      <c r="AG119" s="236"/>
      <c r="AH119" s="236"/>
    </row>
    <row r="120" spans="1:34" s="254" customFormat="1" ht="13.2" customHeight="1" x14ac:dyDescent="0.2">
      <c r="A120" s="366">
        <v>47</v>
      </c>
      <c r="B120" s="635" t="s">
        <v>929</v>
      </c>
      <c r="C120" s="637" t="s">
        <v>930</v>
      </c>
      <c r="D120" s="637" t="s">
        <v>931</v>
      </c>
      <c r="E120" s="312"/>
      <c r="F120" s="629" t="s">
        <v>932</v>
      </c>
      <c r="G120" s="625" t="s">
        <v>933</v>
      </c>
      <c r="H120" s="222"/>
      <c r="I120" s="633">
        <v>145332</v>
      </c>
      <c r="J120" s="222"/>
      <c r="K120" s="224"/>
      <c r="L120" s="326">
        <f>$L$7</f>
        <v>1.6580000000000001E-2</v>
      </c>
      <c r="M120" s="226">
        <f>$M$7</f>
        <v>2.5000000000000001E-3</v>
      </c>
      <c r="N120" s="227"/>
      <c r="O120" s="228"/>
      <c r="P120" s="229"/>
      <c r="Q120" s="230"/>
      <c r="R120" s="231"/>
      <c r="S120" s="264" t="s">
        <v>660</v>
      </c>
      <c r="T120" s="234">
        <v>145332</v>
      </c>
      <c r="U120" s="234"/>
      <c r="V120" s="273">
        <v>0</v>
      </c>
      <c r="W120" s="234">
        <v>7396</v>
      </c>
      <c r="X120" s="234">
        <v>7456</v>
      </c>
      <c r="Y120" s="234">
        <v>7456</v>
      </c>
      <c r="Z120" s="234">
        <v>7456</v>
      </c>
      <c r="AA120" s="234">
        <v>7456</v>
      </c>
      <c r="AB120" s="234">
        <v>7456</v>
      </c>
      <c r="AC120" s="234">
        <v>7456</v>
      </c>
      <c r="AD120" s="234">
        <v>7456</v>
      </c>
      <c r="AE120" s="234">
        <v>85744</v>
      </c>
      <c r="AF120" s="367">
        <f t="shared" si="2"/>
        <v>137936</v>
      </c>
      <c r="AG120" s="236"/>
      <c r="AH120" s="236"/>
    </row>
    <row r="121" spans="1:34" s="254" customFormat="1" ht="15" thickBot="1" x14ac:dyDescent="0.35">
      <c r="A121" s="368"/>
      <c r="B121" s="636"/>
      <c r="C121" s="638"/>
      <c r="D121" s="638"/>
      <c r="E121" s="242"/>
      <c r="F121" s="630"/>
      <c r="G121" s="631"/>
      <c r="H121" s="244"/>
      <c r="I121" s="634"/>
      <c r="J121" s="276"/>
      <c r="K121" s="277"/>
      <c r="L121" s="240"/>
      <c r="M121" s="240"/>
      <c r="N121" s="240"/>
      <c r="O121" s="247"/>
      <c r="P121" s="246"/>
      <c r="Q121" s="268"/>
      <c r="R121" s="269"/>
      <c r="S121" s="250" t="s">
        <v>662</v>
      </c>
      <c r="T121" s="332"/>
      <c r="U121" s="332"/>
      <c r="V121" s="252">
        <v>200</v>
      </c>
      <c r="W121" s="252">
        <v>363.33</v>
      </c>
      <c r="X121" s="252">
        <f>((SUM(X120:$AE120))*($L120+$M120))</f>
        <v>2631.8188799999998</v>
      </c>
      <c r="Y121" s="252">
        <f>((SUM(Y120:$AE120))*($L120+$M120))</f>
        <v>2489.5583999999999</v>
      </c>
      <c r="Z121" s="252">
        <f>((SUM(Z120:$AE120))*($L120+$M120))</f>
        <v>2347.29792</v>
      </c>
      <c r="AA121" s="252">
        <f>((SUM(AA120:$AE120))*($L120+$M120))</f>
        <v>2205.0374400000001</v>
      </c>
      <c r="AB121" s="252">
        <f>((SUM(AB120:$AE120))*($L120+$M120))</f>
        <v>2062.7769600000001</v>
      </c>
      <c r="AC121" s="252">
        <f>((SUM(AC120:$AE120))*($L120+$M120))</f>
        <v>1920.51648</v>
      </c>
      <c r="AD121" s="252">
        <f>((SUM(AD120:$AE120))*($L120+$M120))</f>
        <v>1778.2560000000001</v>
      </c>
      <c r="AE121" s="252">
        <f>((SUM(AE120:$AE120))*($L120+$M120))*11</f>
        <v>17995.950720000001</v>
      </c>
      <c r="AF121" s="369">
        <f t="shared" si="2"/>
        <v>33431.212800000001</v>
      </c>
      <c r="AG121" s="236"/>
      <c r="AH121" s="236"/>
    </row>
    <row r="122" spans="1:34" s="254" customFormat="1" ht="13.95" customHeight="1" x14ac:dyDescent="0.2">
      <c r="A122" s="366">
        <v>48</v>
      </c>
      <c r="B122" s="635" t="s">
        <v>934</v>
      </c>
      <c r="C122" s="637" t="s">
        <v>935</v>
      </c>
      <c r="D122" s="637" t="s">
        <v>936</v>
      </c>
      <c r="E122" s="312"/>
      <c r="F122" s="629" t="s">
        <v>932</v>
      </c>
      <c r="G122" s="625" t="s">
        <v>933</v>
      </c>
      <c r="H122" s="222"/>
      <c r="I122" s="633">
        <v>132027</v>
      </c>
      <c r="J122" s="222"/>
      <c r="K122" s="224"/>
      <c r="L122" s="326">
        <f>$L$7</f>
        <v>1.6580000000000001E-2</v>
      </c>
      <c r="M122" s="226">
        <f>$M$7</f>
        <v>2.5000000000000001E-3</v>
      </c>
      <c r="N122" s="227"/>
      <c r="O122" s="228"/>
      <c r="P122" s="229"/>
      <c r="Q122" s="230"/>
      <c r="R122" s="231"/>
      <c r="S122" s="264" t="s">
        <v>660</v>
      </c>
      <c r="T122" s="234">
        <v>132027</v>
      </c>
      <c r="U122" s="234"/>
      <c r="V122" s="273">
        <v>0</v>
      </c>
      <c r="W122" s="234">
        <v>6745</v>
      </c>
      <c r="X122" s="234">
        <v>6772</v>
      </c>
      <c r="Y122" s="234">
        <v>6772</v>
      </c>
      <c r="Z122" s="234">
        <v>6772</v>
      </c>
      <c r="AA122" s="234">
        <v>6772</v>
      </c>
      <c r="AB122" s="234">
        <v>6772</v>
      </c>
      <c r="AC122" s="234">
        <v>6772</v>
      </c>
      <c r="AD122" s="234">
        <v>6772</v>
      </c>
      <c r="AE122" s="234">
        <v>77878</v>
      </c>
      <c r="AF122" s="367">
        <f t="shared" si="2"/>
        <v>125282</v>
      </c>
      <c r="AG122" s="236"/>
      <c r="AH122" s="236"/>
    </row>
    <row r="123" spans="1:34" s="254" customFormat="1" ht="15" thickBot="1" x14ac:dyDescent="0.35">
      <c r="A123" s="368"/>
      <c r="B123" s="636"/>
      <c r="C123" s="638"/>
      <c r="D123" s="638"/>
      <c r="E123" s="242"/>
      <c r="F123" s="630"/>
      <c r="G123" s="631"/>
      <c r="H123" s="244"/>
      <c r="I123" s="634"/>
      <c r="J123" s="276"/>
      <c r="K123" s="277"/>
      <c r="L123" s="240"/>
      <c r="M123" s="240"/>
      <c r="N123" s="240"/>
      <c r="O123" s="247"/>
      <c r="P123" s="246"/>
      <c r="Q123" s="268"/>
      <c r="R123" s="269"/>
      <c r="S123" s="250" t="s">
        <v>662</v>
      </c>
      <c r="T123" s="332"/>
      <c r="U123" s="332"/>
      <c r="V123" s="252">
        <v>200</v>
      </c>
      <c r="W123" s="252">
        <v>747.32264500000019</v>
      </c>
      <c r="X123" s="252">
        <f>((SUM(X122:$AE122))*($L122+$M122))</f>
        <v>2390.3805600000001</v>
      </c>
      <c r="Y123" s="252">
        <f>((SUM(Y122:$AE122))*($L122+$M122))</f>
        <v>2261.1707999999999</v>
      </c>
      <c r="Z123" s="252">
        <f>((SUM(Z122:$AE122))*($L122+$M122))</f>
        <v>2131.9610400000001</v>
      </c>
      <c r="AA123" s="252">
        <f>((SUM(AA122:$AE122))*($L122+$M122))</f>
        <v>2002.75128</v>
      </c>
      <c r="AB123" s="252">
        <f>((SUM(AB122:$AE122))*($L122+$M122))</f>
        <v>1873.54152</v>
      </c>
      <c r="AC123" s="252">
        <f>((SUM(AC122:$AE122))*($L122+$M122))</f>
        <v>1744.33176</v>
      </c>
      <c r="AD123" s="252">
        <f>((SUM(AD122:$AE122))*($L122+$M122))</f>
        <v>1615.1220000000001</v>
      </c>
      <c r="AE123" s="252">
        <f>((SUM(AE122:$AE122))*($L122+$M122))*11</f>
        <v>16345.034639999998</v>
      </c>
      <c r="AF123" s="369">
        <f t="shared" si="2"/>
        <v>30364.293599999997</v>
      </c>
      <c r="AG123" s="236"/>
      <c r="AH123" s="236"/>
    </row>
    <row r="124" spans="1:34" s="254" customFormat="1" ht="13.2" customHeight="1" x14ac:dyDescent="0.2">
      <c r="A124" s="366">
        <v>49</v>
      </c>
      <c r="B124" s="621" t="s">
        <v>937</v>
      </c>
      <c r="C124" s="623" t="s">
        <v>938</v>
      </c>
      <c r="D124" s="623" t="s">
        <v>939</v>
      </c>
      <c r="E124" s="312"/>
      <c r="F124" s="629" t="s">
        <v>940</v>
      </c>
      <c r="G124" s="625" t="s">
        <v>941</v>
      </c>
      <c r="H124" s="222"/>
      <c r="I124" s="633">
        <v>279650</v>
      </c>
      <c r="J124" s="222"/>
      <c r="K124" s="224"/>
      <c r="L124" s="326">
        <f>$L$7</f>
        <v>1.6580000000000001E-2</v>
      </c>
      <c r="M124" s="226">
        <f>$M$7</f>
        <v>2.5000000000000001E-3</v>
      </c>
      <c r="N124" s="227"/>
      <c r="O124" s="228"/>
      <c r="P124" s="229"/>
      <c r="Q124" s="230"/>
      <c r="R124" s="231"/>
      <c r="S124" s="264" t="s">
        <v>660</v>
      </c>
      <c r="T124" s="234">
        <v>279650</v>
      </c>
      <c r="U124" s="234"/>
      <c r="V124" s="273">
        <v>0</v>
      </c>
      <c r="W124" s="234">
        <v>9467</v>
      </c>
      <c r="X124" s="234">
        <v>9564</v>
      </c>
      <c r="Y124" s="234">
        <v>9564</v>
      </c>
      <c r="Z124" s="234">
        <v>9564</v>
      </c>
      <c r="AA124" s="234">
        <v>9564</v>
      </c>
      <c r="AB124" s="234">
        <v>9564</v>
      </c>
      <c r="AC124" s="234">
        <v>9564</v>
      </c>
      <c r="AD124" s="234">
        <v>9564</v>
      </c>
      <c r="AE124" s="234">
        <v>203235</v>
      </c>
      <c r="AF124" s="367">
        <f t="shared" si="2"/>
        <v>270183</v>
      </c>
      <c r="AG124" s="236"/>
      <c r="AH124" s="236"/>
    </row>
    <row r="125" spans="1:34" s="254" customFormat="1" ht="15" thickBot="1" x14ac:dyDescent="0.35">
      <c r="A125" s="368"/>
      <c r="B125" s="622"/>
      <c r="C125" s="624"/>
      <c r="D125" s="624"/>
      <c r="E125" s="242"/>
      <c r="F125" s="630"/>
      <c r="G125" s="631"/>
      <c r="H125" s="244"/>
      <c r="I125" s="634"/>
      <c r="J125" s="276"/>
      <c r="K125" s="277"/>
      <c r="L125" s="240"/>
      <c r="M125" s="240"/>
      <c r="N125" s="240"/>
      <c r="O125" s="247"/>
      <c r="P125" s="246"/>
      <c r="Q125" s="268"/>
      <c r="R125" s="269"/>
      <c r="S125" s="250" t="s">
        <v>662</v>
      </c>
      <c r="T125" s="332"/>
      <c r="U125" s="332"/>
      <c r="V125" s="252">
        <v>300</v>
      </c>
      <c r="W125" s="252">
        <v>707.5145</v>
      </c>
      <c r="X125" s="252">
        <f>((SUM(X124:$AE124))*($L124+$M124))</f>
        <v>5155.0916399999996</v>
      </c>
      <c r="Y125" s="252">
        <f>((SUM(Y124:$AE124))*($L124+$M124))</f>
        <v>4972.6105200000002</v>
      </c>
      <c r="Z125" s="252">
        <f>((SUM(Z124:$AE124))*($L124+$M124))</f>
        <v>4790.1293999999998</v>
      </c>
      <c r="AA125" s="252">
        <f>((SUM(AA124:$AE124))*($L124+$M124))</f>
        <v>4607.6482800000003</v>
      </c>
      <c r="AB125" s="252">
        <f>((SUM(AB124:$AE124))*($L124+$M124))</f>
        <v>4425.16716</v>
      </c>
      <c r="AC125" s="252">
        <f>((SUM(AC124:$AE124))*($L124+$M124))</f>
        <v>4242.6860399999996</v>
      </c>
      <c r="AD125" s="252">
        <f>((SUM(AD124:$AE124))*($L124+$M124))</f>
        <v>4060.2049200000001</v>
      </c>
      <c r="AE125" s="252">
        <f>((SUM(AE124:$AE124))*($L124+$M124))*21</f>
        <v>81432.199800000002</v>
      </c>
      <c r="AF125" s="369">
        <f t="shared" si="2"/>
        <v>113685.73776</v>
      </c>
      <c r="AG125" s="236"/>
      <c r="AH125" s="236"/>
    </row>
    <row r="126" spans="1:34" s="254" customFormat="1" ht="13.95" customHeight="1" x14ac:dyDescent="0.2">
      <c r="A126" s="366">
        <v>50</v>
      </c>
      <c r="B126" s="621" t="s">
        <v>942</v>
      </c>
      <c r="C126" s="623" t="s">
        <v>943</v>
      </c>
      <c r="D126" s="623" t="s">
        <v>944</v>
      </c>
      <c r="E126" s="312"/>
      <c r="F126" s="629" t="s">
        <v>945</v>
      </c>
      <c r="G126" s="625" t="s">
        <v>946</v>
      </c>
      <c r="H126" s="222"/>
      <c r="I126" s="633">
        <v>400000</v>
      </c>
      <c r="J126" s="222"/>
      <c r="K126" s="224"/>
      <c r="L126" s="326">
        <f>$L$7</f>
        <v>1.6580000000000001E-2</v>
      </c>
      <c r="M126" s="226">
        <f>$M$7</f>
        <v>2.5000000000000001E-3</v>
      </c>
      <c r="N126" s="227"/>
      <c r="O126" s="228"/>
      <c r="P126" s="229"/>
      <c r="Q126" s="230"/>
      <c r="R126" s="231"/>
      <c r="S126" s="264" t="s">
        <v>660</v>
      </c>
      <c r="T126" s="234">
        <v>400000</v>
      </c>
      <c r="U126" s="234"/>
      <c r="V126" s="273">
        <v>0</v>
      </c>
      <c r="W126" s="234">
        <v>13653</v>
      </c>
      <c r="X126" s="234">
        <v>13676</v>
      </c>
      <c r="Y126" s="234">
        <v>13676</v>
      </c>
      <c r="Z126" s="234">
        <v>13676</v>
      </c>
      <c r="AA126" s="234">
        <v>13676</v>
      </c>
      <c r="AB126" s="234">
        <v>13676</v>
      </c>
      <c r="AC126" s="234">
        <v>13676</v>
      </c>
      <c r="AD126" s="234">
        <v>13676</v>
      </c>
      <c r="AE126" s="234">
        <v>290615</v>
      </c>
      <c r="AF126" s="367">
        <f t="shared" si="2"/>
        <v>386347</v>
      </c>
      <c r="AG126" s="236"/>
      <c r="AH126" s="236"/>
    </row>
    <row r="127" spans="1:34" s="254" customFormat="1" ht="15" thickBot="1" x14ac:dyDescent="0.35">
      <c r="A127" s="368"/>
      <c r="B127" s="622"/>
      <c r="C127" s="624"/>
      <c r="D127" s="624"/>
      <c r="E127" s="242"/>
      <c r="F127" s="630"/>
      <c r="G127" s="631"/>
      <c r="H127" s="244"/>
      <c r="I127" s="634"/>
      <c r="J127" s="276"/>
      <c r="K127" s="277"/>
      <c r="L127" s="240"/>
      <c r="M127" s="240"/>
      <c r="N127" s="240"/>
      <c r="O127" s="247"/>
      <c r="P127" s="246"/>
      <c r="Q127" s="268"/>
      <c r="R127" s="269"/>
      <c r="S127" s="250" t="s">
        <v>662</v>
      </c>
      <c r="T127" s="332"/>
      <c r="U127" s="332"/>
      <c r="V127" s="252">
        <v>400</v>
      </c>
      <c r="W127" s="252">
        <v>1012</v>
      </c>
      <c r="X127" s="252">
        <f>((SUM(X126:$AE126))*($L126+$M126))</f>
        <v>7371.5007599999999</v>
      </c>
      <c r="Y127" s="252">
        <f>((SUM(Y126:$AE126))*($L126+$M126))</f>
        <v>7110.56268</v>
      </c>
      <c r="Z127" s="252">
        <f>((SUM(Z126:$AE126))*($L126+$M126))</f>
        <v>6849.6246000000001</v>
      </c>
      <c r="AA127" s="252">
        <f>((SUM(AA126:$AE126))*($L126+$M126))</f>
        <v>6588.6865200000002</v>
      </c>
      <c r="AB127" s="252">
        <f>((SUM(AB126:$AE126))*($L126+$M126))</f>
        <v>6327.7484400000003</v>
      </c>
      <c r="AC127" s="252">
        <f>((SUM(AC126:$AE126))*($L126+$M126))</f>
        <v>6066.8103599999995</v>
      </c>
      <c r="AD127" s="252">
        <f>((SUM(AD126:$AE126))*($L126+$M126))</f>
        <v>5805.8722799999996</v>
      </c>
      <c r="AE127" s="252">
        <f>((SUM(AE126:$AE126))*($L126+$M126))*21</f>
        <v>116443.6182</v>
      </c>
      <c r="AF127" s="369">
        <f t="shared" si="2"/>
        <v>162564.42384</v>
      </c>
      <c r="AG127" s="236"/>
      <c r="AH127" s="236"/>
    </row>
    <row r="128" spans="1:34" s="254" customFormat="1" ht="12.6" customHeight="1" x14ac:dyDescent="0.25">
      <c r="A128" s="366">
        <v>51</v>
      </c>
      <c r="B128" s="621" t="s">
        <v>947</v>
      </c>
      <c r="C128" s="632" t="s">
        <v>948</v>
      </c>
      <c r="D128" s="632" t="s">
        <v>949</v>
      </c>
      <c r="E128" s="312"/>
      <c r="F128" s="629" t="s">
        <v>950</v>
      </c>
      <c r="G128" s="625" t="s">
        <v>951</v>
      </c>
      <c r="H128" s="222"/>
      <c r="I128" s="627">
        <v>247902</v>
      </c>
      <c r="J128" s="370"/>
      <c r="K128" s="371" t="s">
        <v>660</v>
      </c>
      <c r="L128" s="326">
        <f>$L$7</f>
        <v>1.6580000000000001E-2</v>
      </c>
      <c r="M128" s="226">
        <f>$M$7</f>
        <v>2.5000000000000001E-3</v>
      </c>
      <c r="N128" s="227"/>
      <c r="O128" s="228"/>
      <c r="P128" s="229"/>
      <c r="Q128" s="230"/>
      <c r="R128" s="231"/>
      <c r="S128" s="264" t="s">
        <v>660</v>
      </c>
      <c r="T128" s="234"/>
      <c r="U128" s="234"/>
      <c r="V128" s="273"/>
      <c r="W128" s="273">
        <v>0</v>
      </c>
      <c r="X128" s="234">
        <v>61974</v>
      </c>
      <c r="Y128" s="234">
        <v>61976</v>
      </c>
      <c r="Z128" s="234">
        <v>61976</v>
      </c>
      <c r="AA128" s="234">
        <v>61976</v>
      </c>
      <c r="AB128" s="273">
        <v>0</v>
      </c>
      <c r="AC128" s="273">
        <v>0</v>
      </c>
      <c r="AD128" s="273">
        <v>0</v>
      </c>
      <c r="AE128" s="273">
        <v>0</v>
      </c>
      <c r="AF128" s="367">
        <f t="shared" si="2"/>
        <v>247902</v>
      </c>
      <c r="AG128" s="236"/>
      <c r="AH128" s="236"/>
    </row>
    <row r="129" spans="1:34" s="254" customFormat="1" ht="14.4" thickBot="1" x14ac:dyDescent="0.3">
      <c r="A129" s="368"/>
      <c r="B129" s="622"/>
      <c r="C129" s="624"/>
      <c r="D129" s="624"/>
      <c r="E129" s="242"/>
      <c r="F129" s="630"/>
      <c r="G129" s="626"/>
      <c r="H129" s="244"/>
      <c r="I129" s="628"/>
      <c r="J129" s="372"/>
      <c r="K129" s="373" t="s">
        <v>662</v>
      </c>
      <c r="L129" s="240"/>
      <c r="M129" s="240"/>
      <c r="N129" s="240"/>
      <c r="O129" s="247"/>
      <c r="P129" s="246"/>
      <c r="Q129" s="268"/>
      <c r="R129" s="269"/>
      <c r="S129" s="250" t="s">
        <v>662</v>
      </c>
      <c r="T129" s="332"/>
      <c r="U129" s="332"/>
      <c r="V129" s="332"/>
      <c r="W129" s="252">
        <f>SUM(W$128:$AA128)*0.25%</f>
        <v>619.755</v>
      </c>
      <c r="X129" s="252">
        <f>((SUM(X128:$AE128))*($L128+$M128))</f>
        <v>4729.9701599999999</v>
      </c>
      <c r="Y129" s="252">
        <f>((SUM(Y128:$AE128))*($L128+$M128))</f>
        <v>3547.5062400000002</v>
      </c>
      <c r="Z129" s="252">
        <f>((SUM(Z128:$AE128))*($L128+$M128))</f>
        <v>2365.00416</v>
      </c>
      <c r="AA129" s="252">
        <f>((SUM(AA128:$AE128))*($L128+$M128))</f>
        <v>1182.50208</v>
      </c>
      <c r="AB129" s="278">
        <f>((SUM(AB128:$AE128))*($L128+$M128))</f>
        <v>0</v>
      </c>
      <c r="AC129" s="278">
        <f>((SUM(AC128:$AE128))*($L128+$M128))</f>
        <v>0</v>
      </c>
      <c r="AD129" s="278">
        <f>((SUM(AD128:$AE128))*($L128+$M128))</f>
        <v>0</v>
      </c>
      <c r="AE129" s="278">
        <f>((SUM(AE128:$AE128))*($L128+$M128))</f>
        <v>0</v>
      </c>
      <c r="AF129" s="369">
        <f t="shared" si="2"/>
        <v>11824.98264</v>
      </c>
      <c r="AG129" s="236"/>
      <c r="AH129" s="236"/>
    </row>
    <row r="130" spans="1:34" s="254" customFormat="1" ht="12.6" customHeight="1" x14ac:dyDescent="0.25">
      <c r="A130" s="366">
        <v>52</v>
      </c>
      <c r="B130" s="621" t="s">
        <v>952</v>
      </c>
      <c r="C130" s="623" t="s">
        <v>953</v>
      </c>
      <c r="D130" s="623" t="s">
        <v>954</v>
      </c>
      <c r="E130" s="312"/>
      <c r="F130" s="629" t="s">
        <v>955</v>
      </c>
      <c r="G130" s="625" t="s">
        <v>956</v>
      </c>
      <c r="H130" s="222"/>
      <c r="I130" s="627">
        <v>54624</v>
      </c>
      <c r="J130" s="370"/>
      <c r="K130" s="371" t="s">
        <v>660</v>
      </c>
      <c r="L130" s="326">
        <f>$L$7</f>
        <v>1.6580000000000001E-2</v>
      </c>
      <c r="M130" s="226">
        <f>$M$7</f>
        <v>2.5000000000000001E-3</v>
      </c>
      <c r="N130" s="227"/>
      <c r="O130" s="228"/>
      <c r="P130" s="229"/>
      <c r="Q130" s="230"/>
      <c r="R130" s="231"/>
      <c r="S130" s="264" t="s">
        <v>660</v>
      </c>
      <c r="T130" s="234"/>
      <c r="U130" s="234"/>
      <c r="V130" s="273"/>
      <c r="W130" s="273">
        <v>3760</v>
      </c>
      <c r="X130" s="234">
        <v>8064</v>
      </c>
      <c r="Y130" s="234">
        <v>8064</v>
      </c>
      <c r="Z130" s="234">
        <v>8064</v>
      </c>
      <c r="AA130" s="234">
        <v>8064</v>
      </c>
      <c r="AB130" s="234">
        <v>8064</v>
      </c>
      <c r="AC130" s="234">
        <v>8064</v>
      </c>
      <c r="AD130" s="234">
        <v>2480</v>
      </c>
      <c r="AE130" s="273">
        <v>0</v>
      </c>
      <c r="AF130" s="367">
        <f t="shared" si="2"/>
        <v>50864</v>
      </c>
      <c r="AG130" s="236"/>
      <c r="AH130" s="236"/>
    </row>
    <row r="131" spans="1:34" s="254" customFormat="1" ht="14.4" thickBot="1" x14ac:dyDescent="0.3">
      <c r="A131" s="368"/>
      <c r="B131" s="622"/>
      <c r="C131" s="624"/>
      <c r="D131" s="624"/>
      <c r="E131" s="242"/>
      <c r="F131" s="630"/>
      <c r="G131" s="631"/>
      <c r="H131" s="244"/>
      <c r="I131" s="628"/>
      <c r="J131" s="372"/>
      <c r="K131" s="373" t="s">
        <v>662</v>
      </c>
      <c r="L131" s="240"/>
      <c r="M131" s="240"/>
      <c r="N131" s="240"/>
      <c r="O131" s="247"/>
      <c r="P131" s="246"/>
      <c r="Q131" s="268"/>
      <c r="R131" s="269"/>
      <c r="S131" s="250" t="s">
        <v>662</v>
      </c>
      <c r="T131" s="332"/>
      <c r="U131" s="332"/>
      <c r="V131" s="332"/>
      <c r="W131" s="252">
        <v>417.68</v>
      </c>
      <c r="X131" s="252">
        <f>((SUM(X130:$AE130))*($L130+$M130))</f>
        <v>970.48511999999994</v>
      </c>
      <c r="Y131" s="252">
        <f>((SUM(Y130:$AE130))*($L130+$M130))</f>
        <v>816.62400000000002</v>
      </c>
      <c r="Z131" s="252">
        <f>((SUM(Z130:$AE130))*($L130+$M130))</f>
        <v>662.76288</v>
      </c>
      <c r="AA131" s="252">
        <f>((SUM(AA130:$AE130))*($L130+$M130))</f>
        <v>508.90175999999997</v>
      </c>
      <c r="AB131" s="252">
        <f>((SUM(AB130:$AE130))*($L130+$M130))</f>
        <v>355.04064</v>
      </c>
      <c r="AC131" s="252">
        <f>((SUM(AC130:$AE130))*($L130+$M130))</f>
        <v>201.17952</v>
      </c>
      <c r="AD131" s="252">
        <f>((SUM(AD130:$AE130))*($L130+$M130))</f>
        <v>47.318399999999997</v>
      </c>
      <c r="AE131" s="278">
        <f>((SUM(AE130:$AE130))*($L130+$M130))</f>
        <v>0</v>
      </c>
      <c r="AF131" s="369">
        <f t="shared" si="2"/>
        <v>3562.3123200000005</v>
      </c>
      <c r="AG131" s="236"/>
      <c r="AH131" s="236"/>
    </row>
    <row r="132" spans="1:34" s="254" customFormat="1" ht="12.6" customHeight="1" x14ac:dyDescent="0.25">
      <c r="A132" s="366">
        <v>53</v>
      </c>
      <c r="B132" s="621" t="s">
        <v>957</v>
      </c>
      <c r="C132" s="623" t="s">
        <v>958</v>
      </c>
      <c r="D132" s="623" t="s">
        <v>959</v>
      </c>
      <c r="E132" s="312">
        <v>44594</v>
      </c>
      <c r="F132" s="629">
        <v>44594</v>
      </c>
      <c r="G132" s="625" t="s">
        <v>960</v>
      </c>
      <c r="H132" s="222"/>
      <c r="I132" s="627">
        <v>178121</v>
      </c>
      <c r="J132" s="370"/>
      <c r="K132" s="371" t="s">
        <v>660</v>
      </c>
      <c r="L132" s="326">
        <f>$L$7</f>
        <v>1.6580000000000001E-2</v>
      </c>
      <c r="M132" s="226">
        <f>$M$7</f>
        <v>2.5000000000000001E-3</v>
      </c>
      <c r="N132" s="227"/>
      <c r="O132" s="228"/>
      <c r="P132" s="229"/>
      <c r="Q132" s="230"/>
      <c r="R132" s="231"/>
      <c r="S132" s="264" t="s">
        <v>660</v>
      </c>
      <c r="T132" s="234"/>
      <c r="U132" s="234"/>
      <c r="V132" s="273"/>
      <c r="W132" s="273">
        <v>0</v>
      </c>
      <c r="X132" s="234">
        <f>12496+72342</f>
        <v>84838</v>
      </c>
      <c r="Y132" s="234">
        <v>12500</v>
      </c>
      <c r="Z132" s="234">
        <v>12500</v>
      </c>
      <c r="AA132" s="234">
        <v>12500</v>
      </c>
      <c r="AB132" s="234">
        <v>12500</v>
      </c>
      <c r="AC132" s="234">
        <v>12500</v>
      </c>
      <c r="AD132" s="234">
        <v>12500</v>
      </c>
      <c r="AE132" s="273">
        <f>90625-72342</f>
        <v>18283</v>
      </c>
      <c r="AF132" s="367">
        <f t="shared" si="2"/>
        <v>178121</v>
      </c>
      <c r="AG132" s="236"/>
      <c r="AH132" s="236"/>
    </row>
    <row r="133" spans="1:34" s="254" customFormat="1" ht="14.4" thickBot="1" x14ac:dyDescent="0.3">
      <c r="A133" s="368"/>
      <c r="B133" s="622"/>
      <c r="C133" s="624"/>
      <c r="D133" s="624"/>
      <c r="E133" s="242"/>
      <c r="F133" s="630"/>
      <c r="G133" s="631"/>
      <c r="H133" s="244"/>
      <c r="I133" s="628"/>
      <c r="J133" s="372"/>
      <c r="K133" s="373" t="s">
        <v>662</v>
      </c>
      <c r="L133" s="240"/>
      <c r="M133" s="240"/>
      <c r="N133" s="240"/>
      <c r="O133" s="247"/>
      <c r="P133" s="246"/>
      <c r="Q133" s="268"/>
      <c r="R133" s="269"/>
      <c r="S133" s="250" t="s">
        <v>662</v>
      </c>
      <c r="T133" s="332"/>
      <c r="U133" s="332"/>
      <c r="V133" s="332"/>
      <c r="W133" s="252">
        <v>471.30250000000001</v>
      </c>
      <c r="X133" s="252">
        <f>((SUM(X132:$AE132))*($L132+$M132))</f>
        <v>3398.5486799999999</v>
      </c>
      <c r="Y133" s="252">
        <f>((SUM(Y132:$AE132))*($L132+$M132))</f>
        <v>1779.8396399999999</v>
      </c>
      <c r="Z133" s="252">
        <f>((SUM(Z132:$AE132))*($L132+$M132))</f>
        <v>1541.3396399999999</v>
      </c>
      <c r="AA133" s="252">
        <f>((SUM(AA132:$AE132))*($L132+$M132))</f>
        <v>1302.8396399999999</v>
      </c>
      <c r="AB133" s="252">
        <f>((SUM(AB132:$AE132))*($L132+$M132))</f>
        <v>1064.3396399999999</v>
      </c>
      <c r="AC133" s="252">
        <f>((SUM(AC132:$AE132))*($L132+$M132))</f>
        <v>825.83964000000003</v>
      </c>
      <c r="AD133" s="252">
        <f>((SUM(AD132:$AE132))*($L132+$M132))</f>
        <v>587.33964000000003</v>
      </c>
      <c r="AE133" s="252">
        <f>((SUM(AE132:$AE132))*($L132+$M132))*7</f>
        <v>2441.8774799999997</v>
      </c>
      <c r="AF133" s="369">
        <f t="shared" si="2"/>
        <v>12941.964</v>
      </c>
      <c r="AG133" s="236"/>
      <c r="AH133" s="236"/>
    </row>
    <row r="134" spans="1:34" s="254" customFormat="1" ht="12.6" customHeight="1" x14ac:dyDescent="0.25">
      <c r="A134" s="366">
        <v>54</v>
      </c>
      <c r="B134" s="621" t="s">
        <v>957</v>
      </c>
      <c r="C134" s="623" t="s">
        <v>961</v>
      </c>
      <c r="D134" s="623" t="s">
        <v>962</v>
      </c>
      <c r="E134" s="312">
        <v>44594</v>
      </c>
      <c r="F134" s="629">
        <v>44781</v>
      </c>
      <c r="G134" s="625" t="s">
        <v>963</v>
      </c>
      <c r="H134" s="222"/>
      <c r="I134" s="627">
        <v>39831</v>
      </c>
      <c r="J134" s="370"/>
      <c r="K134" s="371" t="s">
        <v>660</v>
      </c>
      <c r="L134" s="326">
        <f>$L$7</f>
        <v>1.6580000000000001E-2</v>
      </c>
      <c r="M134" s="226">
        <f>$M$7</f>
        <v>2.5000000000000001E-3</v>
      </c>
      <c r="N134" s="227"/>
      <c r="O134" s="228"/>
      <c r="P134" s="229"/>
      <c r="Q134" s="230"/>
      <c r="R134" s="231"/>
      <c r="S134" s="264" t="s">
        <v>660</v>
      </c>
      <c r="T134" s="234"/>
      <c r="U134" s="234"/>
      <c r="V134" s="273"/>
      <c r="W134" s="273">
        <v>0</v>
      </c>
      <c r="X134" s="234">
        <v>39831</v>
      </c>
      <c r="Y134" s="234"/>
      <c r="Z134" s="234"/>
      <c r="AA134" s="234"/>
      <c r="AB134" s="234"/>
      <c r="AC134" s="234"/>
      <c r="AD134" s="234"/>
      <c r="AE134" s="273"/>
      <c r="AF134" s="367">
        <f t="shared" si="2"/>
        <v>39831</v>
      </c>
      <c r="AG134" s="236"/>
      <c r="AH134" s="236"/>
    </row>
    <row r="135" spans="1:34" s="254" customFormat="1" ht="14.4" thickBot="1" x14ac:dyDescent="0.3">
      <c r="A135" s="368"/>
      <c r="B135" s="622"/>
      <c r="C135" s="624"/>
      <c r="D135" s="624"/>
      <c r="E135" s="242"/>
      <c r="F135" s="630"/>
      <c r="G135" s="631"/>
      <c r="H135" s="244"/>
      <c r="I135" s="628"/>
      <c r="J135" s="372"/>
      <c r="K135" s="373" t="s">
        <v>662</v>
      </c>
      <c r="L135" s="240"/>
      <c r="M135" s="240"/>
      <c r="N135" s="240"/>
      <c r="O135" s="247"/>
      <c r="P135" s="246"/>
      <c r="Q135" s="268"/>
      <c r="R135" s="269"/>
      <c r="S135" s="250" t="s">
        <v>662</v>
      </c>
      <c r="T135" s="332"/>
      <c r="U135" s="332"/>
      <c r="V135" s="332"/>
      <c r="W135" s="252">
        <v>532.79</v>
      </c>
      <c r="X135" s="252">
        <f>((SUM(X134:$AE134))*($L134+$M134))</f>
        <v>759.97547999999995</v>
      </c>
      <c r="Y135" s="252">
        <f>((SUM(Y134:$AE134))*($L134+$M134))</f>
        <v>0</v>
      </c>
      <c r="Z135" s="252">
        <f>((SUM(Z134:$AE134))*($L134+$M134))</f>
        <v>0</v>
      </c>
      <c r="AA135" s="252">
        <f>((SUM(AA134:$AE134))*($L134+$M134))</f>
        <v>0</v>
      </c>
      <c r="AB135" s="252">
        <f>((SUM(AB134:$AE134))*($L134+$M134))</f>
        <v>0</v>
      </c>
      <c r="AC135" s="252">
        <f>((SUM(AC134:$AE134))*($L134+$M134))</f>
        <v>0</v>
      </c>
      <c r="AD135" s="252">
        <f>((SUM(AD134:$AE134))*($L134+$M134))</f>
        <v>0</v>
      </c>
      <c r="AE135" s="252">
        <f>((SUM(AE134:$AE134))*($L134+$M134))*7</f>
        <v>0</v>
      </c>
      <c r="AF135" s="369">
        <f t="shared" si="2"/>
        <v>759.97547999999995</v>
      </c>
      <c r="AG135" s="236"/>
      <c r="AH135" s="236"/>
    </row>
    <row r="136" spans="1:34" s="254" customFormat="1" ht="12.6" customHeight="1" x14ac:dyDescent="0.25">
      <c r="A136" s="366">
        <v>55</v>
      </c>
      <c r="B136" s="621" t="s">
        <v>964</v>
      </c>
      <c r="C136" s="623" t="s">
        <v>965</v>
      </c>
      <c r="D136" s="623" t="s">
        <v>966</v>
      </c>
      <c r="E136" s="312">
        <v>44594</v>
      </c>
      <c r="F136" s="629">
        <v>44894</v>
      </c>
      <c r="G136" s="625" t="s">
        <v>967</v>
      </c>
      <c r="H136" s="222"/>
      <c r="I136" s="627">
        <v>503660</v>
      </c>
      <c r="J136" s="370"/>
      <c r="K136" s="371" t="s">
        <v>660</v>
      </c>
      <c r="L136" s="326">
        <f>$L$7</f>
        <v>1.6580000000000001E-2</v>
      </c>
      <c r="M136" s="226">
        <f>$M$7</f>
        <v>2.5000000000000001E-3</v>
      </c>
      <c r="N136" s="227"/>
      <c r="O136" s="228"/>
      <c r="P136" s="229"/>
      <c r="Q136" s="230"/>
      <c r="R136" s="231"/>
      <c r="S136" s="264" t="s">
        <v>660</v>
      </c>
      <c r="T136" s="234"/>
      <c r="U136" s="234"/>
      <c r="V136" s="273">
        <v>0</v>
      </c>
      <c r="W136" s="273">
        <v>0</v>
      </c>
      <c r="X136" s="234">
        <v>8788</v>
      </c>
      <c r="Y136" s="234">
        <v>35348</v>
      </c>
      <c r="Z136" s="234">
        <v>35348</v>
      </c>
      <c r="AA136" s="234">
        <v>35348</v>
      </c>
      <c r="AB136" s="234">
        <v>35348</v>
      </c>
      <c r="AC136" s="234">
        <v>35348</v>
      </c>
      <c r="AD136" s="234">
        <v>35348</v>
      </c>
      <c r="AE136" s="273">
        <v>282784</v>
      </c>
      <c r="AF136" s="367">
        <f t="shared" si="2"/>
        <v>503660</v>
      </c>
      <c r="AG136" s="236"/>
      <c r="AH136" s="236"/>
    </row>
    <row r="137" spans="1:34" s="254" customFormat="1" ht="14.4" thickBot="1" x14ac:dyDescent="0.3">
      <c r="A137" s="368"/>
      <c r="B137" s="622"/>
      <c r="C137" s="624"/>
      <c r="D137" s="624"/>
      <c r="E137" s="242"/>
      <c r="F137" s="630"/>
      <c r="G137" s="631"/>
      <c r="H137" s="244"/>
      <c r="I137" s="628"/>
      <c r="J137" s="372"/>
      <c r="K137" s="373" t="s">
        <v>662</v>
      </c>
      <c r="L137" s="240"/>
      <c r="M137" s="240"/>
      <c r="N137" s="240"/>
      <c r="O137" s="247"/>
      <c r="P137" s="246"/>
      <c r="Q137" s="268"/>
      <c r="R137" s="269"/>
      <c r="S137" s="250" t="s">
        <v>662</v>
      </c>
      <c r="T137" s="332"/>
      <c r="U137" s="332"/>
      <c r="V137" s="332"/>
      <c r="W137" s="252"/>
      <c r="X137" s="252">
        <f>((SUM(X136:$AE136))*($L136+$M136))</f>
        <v>9609.8328000000001</v>
      </c>
      <c r="Y137" s="252">
        <f>((SUM(Y136:$AE136))*($L136+$M136))</f>
        <v>9442.1577600000001</v>
      </c>
      <c r="Z137" s="252">
        <f>((SUM(Z136:$AE136))*($L136+$M136))</f>
        <v>8767.7179199999991</v>
      </c>
      <c r="AA137" s="252">
        <f>((SUM(AA136:$AE136))*($L136+$M136))</f>
        <v>8093.27808</v>
      </c>
      <c r="AB137" s="252">
        <f>((SUM(AB136:$AE136))*($L136+$M136))</f>
        <v>7418.83824</v>
      </c>
      <c r="AC137" s="252">
        <f>((SUM(AC136:$AE136))*($L136+$M136))</f>
        <v>6744.3984</v>
      </c>
      <c r="AD137" s="252">
        <f>((SUM(AD136:$AE136))*($L136+$M136))</f>
        <v>6069.95856</v>
      </c>
      <c r="AE137" s="252">
        <f>((SUM(AE136:$AE136))*($L136+$M136))*7</f>
        <v>37768.63104</v>
      </c>
      <c r="AF137" s="369">
        <f t="shared" si="2"/>
        <v>93914.812799999985</v>
      </c>
      <c r="AG137" s="236"/>
      <c r="AH137" s="236"/>
    </row>
    <row r="138" spans="1:34" s="254" customFormat="1" ht="12.6" customHeight="1" x14ac:dyDescent="0.25">
      <c r="A138" s="366">
        <v>56</v>
      </c>
      <c r="B138" s="621" t="s">
        <v>968</v>
      </c>
      <c r="C138" s="623" t="s">
        <v>969</v>
      </c>
      <c r="D138" s="623" t="s">
        <v>970</v>
      </c>
      <c r="E138" s="312">
        <v>44594</v>
      </c>
      <c r="F138" s="629">
        <v>44894</v>
      </c>
      <c r="G138" s="625" t="s">
        <v>971</v>
      </c>
      <c r="H138" s="222"/>
      <c r="I138" s="627">
        <v>300000</v>
      </c>
      <c r="J138" s="370"/>
      <c r="K138" s="371" t="s">
        <v>660</v>
      </c>
      <c r="L138" s="326">
        <f>$L$7</f>
        <v>1.6580000000000001E-2</v>
      </c>
      <c r="M138" s="226">
        <f>$M$7</f>
        <v>2.5000000000000001E-3</v>
      </c>
      <c r="N138" s="227"/>
      <c r="O138" s="228"/>
      <c r="P138" s="229"/>
      <c r="Q138" s="230"/>
      <c r="R138" s="231"/>
      <c r="S138" s="264" t="s">
        <v>660</v>
      </c>
      <c r="T138" s="234"/>
      <c r="U138" s="234"/>
      <c r="V138" s="273">
        <v>0</v>
      </c>
      <c r="W138" s="273">
        <v>0</v>
      </c>
      <c r="X138" s="234">
        <v>8076</v>
      </c>
      <c r="Y138" s="234">
        <v>32436</v>
      </c>
      <c r="Z138" s="234">
        <v>32436</v>
      </c>
      <c r="AA138" s="234">
        <v>32436</v>
      </c>
      <c r="AB138" s="234">
        <v>32436</v>
      </c>
      <c r="AC138" s="234">
        <v>32436</v>
      </c>
      <c r="AD138" s="234">
        <v>32436</v>
      </c>
      <c r="AE138" s="273">
        <v>97308</v>
      </c>
      <c r="AF138" s="367">
        <f t="shared" si="2"/>
        <v>300000</v>
      </c>
      <c r="AG138" s="236"/>
      <c r="AH138" s="236"/>
    </row>
    <row r="139" spans="1:34" s="254" customFormat="1" ht="14.4" thickBot="1" x14ac:dyDescent="0.3">
      <c r="A139" s="368"/>
      <c r="B139" s="622"/>
      <c r="C139" s="624"/>
      <c r="D139" s="624"/>
      <c r="E139" s="242"/>
      <c r="F139" s="630"/>
      <c r="G139" s="631"/>
      <c r="H139" s="244"/>
      <c r="I139" s="628"/>
      <c r="J139" s="372"/>
      <c r="K139" s="373" t="s">
        <v>662</v>
      </c>
      <c r="L139" s="240"/>
      <c r="M139" s="240"/>
      <c r="N139" s="240"/>
      <c r="O139" s="247"/>
      <c r="P139" s="246"/>
      <c r="Q139" s="268"/>
      <c r="R139" s="269"/>
      <c r="S139" s="250" t="s">
        <v>662</v>
      </c>
      <c r="T139" s="332"/>
      <c r="U139" s="332"/>
      <c r="V139" s="332"/>
      <c r="W139" s="252"/>
      <c r="X139" s="252">
        <f>((SUM(X138:$AE138))*($L138+$M138))</f>
        <v>5724</v>
      </c>
      <c r="Y139" s="252">
        <f>((SUM(Y138:$AE138))*($L138+$M138))</f>
        <v>5569.9099200000001</v>
      </c>
      <c r="Z139" s="252">
        <f>((SUM(Z138:$AE138))*($L138+$M138))</f>
        <v>4951.0310399999998</v>
      </c>
      <c r="AA139" s="252">
        <f>((SUM(AA138:$AE138))*($L138+$M138))</f>
        <v>4332.1521599999996</v>
      </c>
      <c r="AB139" s="252">
        <f>((SUM(AB138:$AE138))*($L138+$M138))</f>
        <v>3713.2732799999999</v>
      </c>
      <c r="AC139" s="252">
        <f>((SUM(AC138:$AE138))*($L138+$M138))</f>
        <v>3094.3944000000001</v>
      </c>
      <c r="AD139" s="252">
        <f>((SUM(AD138:$AE138))*($L138+$M138))</f>
        <v>2475.5155199999999</v>
      </c>
      <c r="AE139" s="252">
        <f>((SUM(AE138:$AE138))*($L138+$M138))*2</f>
        <v>3713.2732799999999</v>
      </c>
      <c r="AF139" s="369">
        <f t="shared" si="2"/>
        <v>33573.549599999998</v>
      </c>
      <c r="AG139" s="236"/>
      <c r="AH139" s="236"/>
    </row>
    <row r="140" spans="1:34" s="254" customFormat="1" ht="12.6" customHeight="1" x14ac:dyDescent="0.25">
      <c r="A140" s="366">
        <v>57</v>
      </c>
      <c r="B140" s="621" t="s">
        <v>217</v>
      </c>
      <c r="C140" s="623" t="s">
        <v>972</v>
      </c>
      <c r="D140" s="623"/>
      <c r="E140" s="312">
        <v>44594</v>
      </c>
      <c r="F140" s="625">
        <v>2023</v>
      </c>
      <c r="G140" s="625">
        <v>2028</v>
      </c>
      <c r="H140" s="222"/>
      <c r="I140" s="627">
        <v>59922</v>
      </c>
      <c r="J140" s="370"/>
      <c r="K140" s="371" t="s">
        <v>660</v>
      </c>
      <c r="L140" s="326">
        <f>$L$7</f>
        <v>1.6580000000000001E-2</v>
      </c>
      <c r="M140" s="226">
        <f>$M$7</f>
        <v>2.5000000000000001E-3</v>
      </c>
      <c r="N140" s="227"/>
      <c r="O140" s="228"/>
      <c r="P140" s="229"/>
      <c r="Q140" s="230"/>
      <c r="R140" s="231"/>
      <c r="S140" s="264" t="s">
        <v>660</v>
      </c>
      <c r="T140" s="234"/>
      <c r="U140" s="234"/>
      <c r="V140" s="273">
        <v>0</v>
      </c>
      <c r="W140" s="273">
        <v>0</v>
      </c>
      <c r="X140" s="234"/>
      <c r="Y140" s="234">
        <f>59922/5</f>
        <v>11984.4</v>
      </c>
      <c r="Z140" s="234">
        <f t="shared" ref="Z140:AC140" si="3">59922/5</f>
        <v>11984.4</v>
      </c>
      <c r="AA140" s="234">
        <f t="shared" si="3"/>
        <v>11984.4</v>
      </c>
      <c r="AB140" s="234">
        <f t="shared" si="3"/>
        <v>11984.4</v>
      </c>
      <c r="AC140" s="234">
        <f t="shared" si="3"/>
        <v>11984.4</v>
      </c>
      <c r="AD140" s="234"/>
      <c r="AE140" s="273"/>
      <c r="AF140" s="367">
        <f t="shared" ref="AF140:AF141" si="4">SUM(X140:AE140)</f>
        <v>59922</v>
      </c>
      <c r="AG140" s="236"/>
      <c r="AH140" s="236"/>
    </row>
    <row r="141" spans="1:34" s="254" customFormat="1" ht="14.4" thickBot="1" x14ac:dyDescent="0.3">
      <c r="A141" s="368"/>
      <c r="B141" s="622"/>
      <c r="C141" s="624"/>
      <c r="D141" s="624"/>
      <c r="E141" s="242"/>
      <c r="F141" s="626"/>
      <c r="G141" s="626"/>
      <c r="H141" s="244"/>
      <c r="I141" s="628"/>
      <c r="J141" s="372"/>
      <c r="K141" s="373" t="s">
        <v>662</v>
      </c>
      <c r="L141" s="240"/>
      <c r="M141" s="240"/>
      <c r="N141" s="240"/>
      <c r="O141" s="247"/>
      <c r="P141" s="246"/>
      <c r="Q141" s="268"/>
      <c r="R141" s="269"/>
      <c r="S141" s="250" t="s">
        <v>662</v>
      </c>
      <c r="T141" s="332"/>
      <c r="U141" s="332"/>
      <c r="V141" s="332"/>
      <c r="W141" s="252"/>
      <c r="X141" s="252"/>
      <c r="Y141" s="252">
        <f>((SUM(Y140:$AE140))*($L140+$M140))</f>
        <v>1143.31176</v>
      </c>
      <c r="Z141" s="252">
        <f>((SUM(Z140:$AE140))*($L140+$M140))</f>
        <v>914.64940799999999</v>
      </c>
      <c r="AA141" s="252">
        <f>((SUM(AA140:$AE140))*($L140+$M140))</f>
        <v>685.98705599999994</v>
      </c>
      <c r="AB141" s="252">
        <f>((SUM(AB140:$AE140))*($L140+$M140))</f>
        <v>457.324704</v>
      </c>
      <c r="AC141" s="252">
        <f>((SUM(AC140:$AE140))*($L140+$M140))</f>
        <v>228.662352</v>
      </c>
      <c r="AD141" s="252">
        <f>((SUM(AD140:$AE140))*($L140+$M140))</f>
        <v>0</v>
      </c>
      <c r="AE141" s="252">
        <f>((SUM(AE140:$AE140))*($L140+$M140))*2</f>
        <v>0</v>
      </c>
      <c r="AF141" s="369">
        <f t="shared" si="4"/>
        <v>3429.9352799999997</v>
      </c>
      <c r="AG141" s="236"/>
      <c r="AH141" s="236"/>
    </row>
    <row r="142" spans="1:34" s="254" customFormat="1" ht="12.6" customHeight="1" x14ac:dyDescent="0.25">
      <c r="A142" s="366">
        <v>58</v>
      </c>
      <c r="B142" s="621" t="s">
        <v>219</v>
      </c>
      <c r="C142" s="623" t="s">
        <v>972</v>
      </c>
      <c r="D142" s="623"/>
      <c r="E142" s="312">
        <v>44594</v>
      </c>
      <c r="F142" s="625">
        <v>2023</v>
      </c>
      <c r="G142" s="625">
        <v>2033</v>
      </c>
      <c r="H142" s="222"/>
      <c r="I142" s="627">
        <v>207089</v>
      </c>
      <c r="J142" s="370"/>
      <c r="K142" s="371" t="s">
        <v>660</v>
      </c>
      <c r="L142" s="326">
        <f>$L$7</f>
        <v>1.6580000000000001E-2</v>
      </c>
      <c r="M142" s="226">
        <f>$M$7</f>
        <v>2.5000000000000001E-3</v>
      </c>
      <c r="N142" s="227"/>
      <c r="O142" s="228"/>
      <c r="P142" s="229"/>
      <c r="Q142" s="230"/>
      <c r="R142" s="231"/>
      <c r="S142" s="264" t="s">
        <v>660</v>
      </c>
      <c r="T142" s="234"/>
      <c r="U142" s="234"/>
      <c r="V142" s="273">
        <v>0</v>
      </c>
      <c r="W142" s="273">
        <v>0</v>
      </c>
      <c r="X142" s="234"/>
      <c r="Y142" s="234">
        <f>207089/10</f>
        <v>20708.900000000001</v>
      </c>
      <c r="Z142" s="234">
        <f t="shared" ref="Z142:AD142" si="5">207089/10</f>
        <v>20708.900000000001</v>
      </c>
      <c r="AA142" s="234">
        <f t="shared" si="5"/>
        <v>20708.900000000001</v>
      </c>
      <c r="AB142" s="234">
        <f t="shared" si="5"/>
        <v>20708.900000000001</v>
      </c>
      <c r="AC142" s="234">
        <f t="shared" si="5"/>
        <v>20708.900000000001</v>
      </c>
      <c r="AD142" s="234">
        <f t="shared" si="5"/>
        <v>20708.900000000001</v>
      </c>
      <c r="AE142" s="273">
        <f>I142-SUM(Y142:AD142)</f>
        <v>82835.600000000006</v>
      </c>
      <c r="AF142" s="367">
        <f t="shared" ref="AF142:AF145" si="6">SUM(X142:AE142)</f>
        <v>207089</v>
      </c>
      <c r="AG142" s="236"/>
      <c r="AH142" s="236"/>
    </row>
    <row r="143" spans="1:34" s="254" customFormat="1" ht="14.4" thickBot="1" x14ac:dyDescent="0.3">
      <c r="A143" s="368"/>
      <c r="B143" s="622"/>
      <c r="C143" s="624"/>
      <c r="D143" s="624"/>
      <c r="E143" s="242"/>
      <c r="F143" s="626"/>
      <c r="G143" s="626"/>
      <c r="H143" s="244"/>
      <c r="I143" s="628"/>
      <c r="J143" s="372"/>
      <c r="K143" s="373" t="s">
        <v>662</v>
      </c>
      <c r="L143" s="240"/>
      <c r="M143" s="240"/>
      <c r="N143" s="240"/>
      <c r="O143" s="247"/>
      <c r="P143" s="246"/>
      <c r="Q143" s="268"/>
      <c r="R143" s="269"/>
      <c r="S143" s="250" t="s">
        <v>662</v>
      </c>
      <c r="T143" s="332"/>
      <c r="U143" s="332"/>
      <c r="V143" s="332"/>
      <c r="W143" s="252"/>
      <c r="X143" s="252"/>
      <c r="Y143" s="252">
        <f>((SUM(Y142:$AE142))*($L142+$M142))</f>
        <v>3951.25812</v>
      </c>
      <c r="Z143" s="252">
        <f>((SUM(Z142:$AE142))*($L142+$M142))</f>
        <v>3556.1323080000002</v>
      </c>
      <c r="AA143" s="252">
        <f>((SUM(AA142:$AE142))*($L142+$M142))</f>
        <v>3161.006496</v>
      </c>
      <c r="AB143" s="252">
        <f>((SUM(AB142:$AE142))*($L142+$M142))</f>
        <v>2765.8806840000002</v>
      </c>
      <c r="AC143" s="252">
        <f>((SUM(AC142:$AE142))*($L142+$M142))</f>
        <v>2370.754872</v>
      </c>
      <c r="AD143" s="252">
        <f>((SUM(AD142:$AE142))*($L142+$M142))</f>
        <v>1975.62906</v>
      </c>
      <c r="AE143" s="252">
        <f>((SUM(AE142:$AE142))*($L142+$M142))*2</f>
        <v>3161.006496</v>
      </c>
      <c r="AF143" s="369">
        <f t="shared" si="6"/>
        <v>20941.668036000003</v>
      </c>
      <c r="AG143" s="236"/>
      <c r="AH143" s="236"/>
    </row>
    <row r="144" spans="1:34" s="254" customFormat="1" ht="18.600000000000001" customHeight="1" x14ac:dyDescent="0.25">
      <c r="A144" s="366">
        <v>59</v>
      </c>
      <c r="B144" s="621" t="s">
        <v>973</v>
      </c>
      <c r="C144" s="623" t="s">
        <v>972</v>
      </c>
      <c r="D144" s="623"/>
      <c r="E144" s="312">
        <v>44594</v>
      </c>
      <c r="F144" s="625">
        <v>2023</v>
      </c>
      <c r="G144" s="625">
        <v>2035</v>
      </c>
      <c r="H144" s="222"/>
      <c r="I144" s="627">
        <v>320141</v>
      </c>
      <c r="J144" s="370"/>
      <c r="K144" s="371" t="s">
        <v>660</v>
      </c>
      <c r="L144" s="326">
        <f>$L$7</f>
        <v>1.6580000000000001E-2</v>
      </c>
      <c r="M144" s="226">
        <f>$M$7</f>
        <v>2.5000000000000001E-3</v>
      </c>
      <c r="N144" s="227"/>
      <c r="O144" s="228"/>
      <c r="P144" s="229"/>
      <c r="Q144" s="230"/>
      <c r="R144" s="231"/>
      <c r="S144" s="264" t="s">
        <v>660</v>
      </c>
      <c r="T144" s="234"/>
      <c r="U144" s="234"/>
      <c r="V144" s="273">
        <v>0</v>
      </c>
      <c r="W144" s="273">
        <v>0</v>
      </c>
      <c r="X144" s="234"/>
      <c r="Y144" s="234">
        <f>$I$144/12</f>
        <v>26678.416666666668</v>
      </c>
      <c r="Z144" s="234">
        <f t="shared" ref="Z144:AD144" si="7">$I$144/12</f>
        <v>26678.416666666668</v>
      </c>
      <c r="AA144" s="234">
        <f t="shared" si="7"/>
        <v>26678.416666666668</v>
      </c>
      <c r="AB144" s="234">
        <f t="shared" si="7"/>
        <v>26678.416666666668</v>
      </c>
      <c r="AC144" s="234">
        <f t="shared" si="7"/>
        <v>26678.416666666668</v>
      </c>
      <c r="AD144" s="234">
        <f t="shared" si="7"/>
        <v>26678.416666666668</v>
      </c>
      <c r="AE144" s="273">
        <f>I144-SUM(Y144:AD144)</f>
        <v>160070.5</v>
      </c>
      <c r="AF144" s="367">
        <f t="shared" si="6"/>
        <v>320141</v>
      </c>
      <c r="AG144" s="236"/>
      <c r="AH144" s="236"/>
    </row>
    <row r="145" spans="1:34" s="254" customFormat="1" ht="18.600000000000001" customHeight="1" thickBot="1" x14ac:dyDescent="0.3">
      <c r="A145" s="368"/>
      <c r="B145" s="622"/>
      <c r="C145" s="624"/>
      <c r="D145" s="624"/>
      <c r="E145" s="242"/>
      <c r="F145" s="626"/>
      <c r="G145" s="626"/>
      <c r="H145" s="244"/>
      <c r="I145" s="628"/>
      <c r="J145" s="372"/>
      <c r="K145" s="373" t="s">
        <v>662</v>
      </c>
      <c r="L145" s="240"/>
      <c r="M145" s="240"/>
      <c r="N145" s="240"/>
      <c r="O145" s="247"/>
      <c r="P145" s="246"/>
      <c r="Q145" s="268"/>
      <c r="R145" s="269"/>
      <c r="S145" s="250" t="s">
        <v>662</v>
      </c>
      <c r="T145" s="332"/>
      <c r="U145" s="332"/>
      <c r="V145" s="332"/>
      <c r="W145" s="252"/>
      <c r="X145" s="252"/>
      <c r="Y145" s="252">
        <f>((SUM(Y144:$AE144))*($L144+$M144))</f>
        <v>6108.2902800000002</v>
      </c>
      <c r="Z145" s="252">
        <f>((SUM(Z144:$AE144))*($L144+$M144))</f>
        <v>5599.266090000001</v>
      </c>
      <c r="AA145" s="252">
        <f>((SUM(AA144:$AE144))*($L144+$M144))</f>
        <v>5090.2419</v>
      </c>
      <c r="AB145" s="252">
        <f>((SUM(AB144:$AE144))*($L144+$M144))</f>
        <v>4581.2177099999999</v>
      </c>
      <c r="AC145" s="252">
        <f>((SUM(AC144:$AE144))*($L144+$M144))</f>
        <v>4072.1935200000003</v>
      </c>
      <c r="AD145" s="252">
        <f>((SUM(AD144:$AE144))*($L144+$M144))</f>
        <v>3563.1693299999997</v>
      </c>
      <c r="AE145" s="252">
        <f>((SUM(AE144:$AE144))*($L144+$M144))*2</f>
        <v>6108.2902800000002</v>
      </c>
      <c r="AF145" s="369">
        <f t="shared" si="6"/>
        <v>35122.669110000003</v>
      </c>
      <c r="AG145" s="236"/>
      <c r="AH145" s="236"/>
    </row>
    <row r="146" spans="1:34" s="254" customFormat="1" ht="18.600000000000001" customHeight="1" x14ac:dyDescent="0.25">
      <c r="A146" s="366">
        <v>60</v>
      </c>
      <c r="B146" s="621" t="s">
        <v>186</v>
      </c>
      <c r="C146" s="623" t="s">
        <v>972</v>
      </c>
      <c r="D146" s="623"/>
      <c r="E146" s="312">
        <v>44594</v>
      </c>
      <c r="F146" s="625">
        <v>2023</v>
      </c>
      <c r="G146" s="625">
        <v>2028</v>
      </c>
      <c r="H146" s="222"/>
      <c r="I146" s="627">
        <v>37335</v>
      </c>
      <c r="J146" s="370"/>
      <c r="K146" s="371" t="s">
        <v>660</v>
      </c>
      <c r="L146" s="326">
        <f>$L$7</f>
        <v>1.6580000000000001E-2</v>
      </c>
      <c r="M146" s="226">
        <f>$M$7</f>
        <v>2.5000000000000001E-3</v>
      </c>
      <c r="N146" s="227"/>
      <c r="O146" s="228"/>
      <c r="P146" s="229"/>
      <c r="Q146" s="230"/>
      <c r="R146" s="231"/>
      <c r="S146" s="264" t="s">
        <v>660</v>
      </c>
      <c r="T146" s="234"/>
      <c r="U146" s="234"/>
      <c r="V146" s="273">
        <v>0</v>
      </c>
      <c r="W146" s="273">
        <v>0</v>
      </c>
      <c r="X146" s="234"/>
      <c r="Y146" s="234">
        <f>$I$146/5</f>
        <v>7467</v>
      </c>
      <c r="Z146" s="234">
        <f t="shared" ref="Z146:AC146" si="8">$I$146/5</f>
        <v>7467</v>
      </c>
      <c r="AA146" s="234">
        <f t="shared" si="8"/>
        <v>7467</v>
      </c>
      <c r="AB146" s="234">
        <f t="shared" si="8"/>
        <v>7467</v>
      </c>
      <c r="AC146" s="234">
        <f t="shared" si="8"/>
        <v>7467</v>
      </c>
      <c r="AD146" s="234"/>
      <c r="AE146" s="273"/>
      <c r="AF146" s="367">
        <f t="shared" ref="AF146:AF147" si="9">SUM(X146:AE146)</f>
        <v>37335</v>
      </c>
      <c r="AG146" s="236"/>
      <c r="AH146" s="236"/>
    </row>
    <row r="147" spans="1:34" s="254" customFormat="1" ht="18.600000000000001" customHeight="1" thickBot="1" x14ac:dyDescent="0.3">
      <c r="A147" s="368"/>
      <c r="B147" s="622"/>
      <c r="C147" s="624"/>
      <c r="D147" s="624"/>
      <c r="E147" s="242"/>
      <c r="F147" s="626"/>
      <c r="G147" s="626"/>
      <c r="H147" s="244"/>
      <c r="I147" s="628"/>
      <c r="J147" s="372"/>
      <c r="K147" s="373" t="s">
        <v>662</v>
      </c>
      <c r="L147" s="240"/>
      <c r="M147" s="240"/>
      <c r="N147" s="240"/>
      <c r="O147" s="247"/>
      <c r="P147" s="246"/>
      <c r="Q147" s="268"/>
      <c r="R147" s="269"/>
      <c r="S147" s="250" t="s">
        <v>662</v>
      </c>
      <c r="T147" s="332"/>
      <c r="U147" s="332"/>
      <c r="V147" s="332"/>
      <c r="W147" s="252"/>
      <c r="X147" s="252"/>
      <c r="Y147" s="252">
        <f>((SUM(Y146:$AE146))*($L146+$M146))</f>
        <v>712.35180000000003</v>
      </c>
      <c r="Z147" s="252">
        <f>((SUM(Z146:$AE146))*($L146+$M146))</f>
        <v>569.88144</v>
      </c>
      <c r="AA147" s="252">
        <f>((SUM(AA146:$AE146))*($L146+$M146))</f>
        <v>427.41107999999997</v>
      </c>
      <c r="AB147" s="252">
        <f>((SUM(AB146:$AE146))*($L146+$M146))</f>
        <v>284.94072</v>
      </c>
      <c r="AC147" s="252">
        <f>((SUM(AC146:$AE146))*($L146+$M146))</f>
        <v>142.47036</v>
      </c>
      <c r="AD147" s="252">
        <f>((SUM(AD146:$AE146))*($L146+$M146))</f>
        <v>0</v>
      </c>
      <c r="AE147" s="252">
        <f>((SUM(AE146:$AE146))*($L146+$M146))*2</f>
        <v>0</v>
      </c>
      <c r="AF147" s="369">
        <f t="shared" si="9"/>
        <v>2137.0553999999997</v>
      </c>
      <c r="AG147" s="236"/>
      <c r="AH147" s="236"/>
    </row>
    <row r="148" spans="1:34" s="254" customFormat="1" ht="14.4" customHeight="1" x14ac:dyDescent="0.25">
      <c r="A148" s="366">
        <v>61</v>
      </c>
      <c r="B148" s="621" t="s">
        <v>296</v>
      </c>
      <c r="C148" s="623" t="s">
        <v>972</v>
      </c>
      <c r="D148" s="623"/>
      <c r="E148" s="312">
        <v>44594</v>
      </c>
      <c r="F148" s="625">
        <v>2023</v>
      </c>
      <c r="G148" s="625">
        <v>2038</v>
      </c>
      <c r="H148" s="222"/>
      <c r="I148" s="627">
        <v>582946</v>
      </c>
      <c r="J148" s="370"/>
      <c r="K148" s="371" t="s">
        <v>660</v>
      </c>
      <c r="L148" s="326">
        <f>$L$7</f>
        <v>1.6580000000000001E-2</v>
      </c>
      <c r="M148" s="226">
        <f>$M$7</f>
        <v>2.5000000000000001E-3</v>
      </c>
      <c r="N148" s="227"/>
      <c r="O148" s="228"/>
      <c r="P148" s="229"/>
      <c r="Q148" s="230"/>
      <c r="R148" s="231"/>
      <c r="S148" s="264" t="s">
        <v>660</v>
      </c>
      <c r="T148" s="234"/>
      <c r="U148" s="234"/>
      <c r="V148" s="273">
        <v>0</v>
      </c>
      <c r="W148" s="273">
        <v>0</v>
      </c>
      <c r="X148" s="234"/>
      <c r="Y148" s="234">
        <f>$I$148/15</f>
        <v>38863.066666666666</v>
      </c>
      <c r="Z148" s="234">
        <f t="shared" ref="Z148:AD148" si="10">$I$148/15</f>
        <v>38863.066666666666</v>
      </c>
      <c r="AA148" s="234">
        <f t="shared" si="10"/>
        <v>38863.066666666666</v>
      </c>
      <c r="AB148" s="234">
        <f t="shared" si="10"/>
        <v>38863.066666666666</v>
      </c>
      <c r="AC148" s="234">
        <f t="shared" si="10"/>
        <v>38863.066666666666</v>
      </c>
      <c r="AD148" s="234">
        <f t="shared" si="10"/>
        <v>38863.066666666666</v>
      </c>
      <c r="AE148" s="273">
        <f>I148-SUM(Y148:AD148)</f>
        <v>349767.60000000003</v>
      </c>
      <c r="AF148" s="367">
        <f t="shared" ref="AF148:AF153" si="11">SUM(X148:AE148)</f>
        <v>582946</v>
      </c>
      <c r="AG148" s="236"/>
      <c r="AH148" s="236"/>
    </row>
    <row r="149" spans="1:34" s="254" customFormat="1" ht="14.4" customHeight="1" thickBot="1" x14ac:dyDescent="0.3">
      <c r="A149" s="368"/>
      <c r="B149" s="622"/>
      <c r="C149" s="624"/>
      <c r="D149" s="624"/>
      <c r="E149" s="242"/>
      <c r="F149" s="626"/>
      <c r="G149" s="626"/>
      <c r="H149" s="244"/>
      <c r="I149" s="628"/>
      <c r="J149" s="372"/>
      <c r="K149" s="373" t="s">
        <v>662</v>
      </c>
      <c r="L149" s="240"/>
      <c r="M149" s="240"/>
      <c r="N149" s="240"/>
      <c r="O149" s="247"/>
      <c r="P149" s="246"/>
      <c r="Q149" s="268"/>
      <c r="R149" s="269"/>
      <c r="S149" s="250" t="s">
        <v>662</v>
      </c>
      <c r="T149" s="332"/>
      <c r="U149" s="332"/>
      <c r="V149" s="332"/>
      <c r="W149" s="252"/>
      <c r="X149" s="252"/>
      <c r="Y149" s="252">
        <f>((SUM(Y148:$AE148))*($L148+$M148))</f>
        <v>11122.60968</v>
      </c>
      <c r="Z149" s="252">
        <f>((SUM(Z148:$AE148))*($L148+$M148))</f>
        <v>10381.102368</v>
      </c>
      <c r="AA149" s="252">
        <f>((SUM(AA148:$AE148))*($L148+$M148))</f>
        <v>9639.5950560000001</v>
      </c>
      <c r="AB149" s="252">
        <f>((SUM(AB148:$AE148))*($L148+$M148))</f>
        <v>8898.0877440000004</v>
      </c>
      <c r="AC149" s="252">
        <f>((SUM(AC148:$AE148))*($L148+$M148))</f>
        <v>8156.5804320000007</v>
      </c>
      <c r="AD149" s="252">
        <f>((SUM(AD148:$AE148))*($L148+$M148))</f>
        <v>7415.07312</v>
      </c>
      <c r="AE149" s="252">
        <f>((SUM(AE148:$AE148))*($L148+$M148))*2</f>
        <v>13347.131616000001</v>
      </c>
      <c r="AF149" s="369">
        <f t="shared" si="11"/>
        <v>68960.180015999998</v>
      </c>
      <c r="AG149" s="236"/>
      <c r="AH149" s="236"/>
    </row>
    <row r="150" spans="1:34" s="254" customFormat="1" ht="14.4" customHeight="1" x14ac:dyDescent="0.25">
      <c r="A150" s="366">
        <v>62</v>
      </c>
      <c r="B150" s="621" t="s">
        <v>298</v>
      </c>
      <c r="C150" s="623" t="s">
        <v>972</v>
      </c>
      <c r="D150" s="623"/>
      <c r="E150" s="312">
        <v>44594</v>
      </c>
      <c r="F150" s="625">
        <v>2023</v>
      </c>
      <c r="G150" s="625">
        <v>2035</v>
      </c>
      <c r="H150" s="222"/>
      <c r="I150" s="627">
        <v>390000</v>
      </c>
      <c r="J150" s="370"/>
      <c r="K150" s="371" t="s">
        <v>660</v>
      </c>
      <c r="L150" s="326">
        <f>$L$7</f>
        <v>1.6580000000000001E-2</v>
      </c>
      <c r="M150" s="226">
        <f>$M$7</f>
        <v>2.5000000000000001E-3</v>
      </c>
      <c r="N150" s="227"/>
      <c r="O150" s="228"/>
      <c r="P150" s="229"/>
      <c r="Q150" s="230"/>
      <c r="R150" s="231"/>
      <c r="S150" s="264" t="s">
        <v>660</v>
      </c>
      <c r="T150" s="234"/>
      <c r="U150" s="234"/>
      <c r="V150" s="273">
        <v>0</v>
      </c>
      <c r="W150" s="273">
        <v>0</v>
      </c>
      <c r="X150" s="234"/>
      <c r="Y150" s="234">
        <f>$I$150/12</f>
        <v>32500</v>
      </c>
      <c r="Z150" s="234">
        <f t="shared" ref="Z150:AD150" si="12">$I$150/12</f>
        <v>32500</v>
      </c>
      <c r="AA150" s="234">
        <f t="shared" si="12"/>
        <v>32500</v>
      </c>
      <c r="AB150" s="234">
        <f t="shared" si="12"/>
        <v>32500</v>
      </c>
      <c r="AC150" s="234">
        <f t="shared" si="12"/>
        <v>32500</v>
      </c>
      <c r="AD150" s="234">
        <f t="shared" si="12"/>
        <v>32500</v>
      </c>
      <c r="AE150" s="273">
        <f>I150-SUM(Y150:AD150)</f>
        <v>195000</v>
      </c>
      <c r="AF150" s="367">
        <f t="shared" si="11"/>
        <v>390000</v>
      </c>
      <c r="AG150" s="236"/>
      <c r="AH150" s="236"/>
    </row>
    <row r="151" spans="1:34" s="254" customFormat="1" ht="14.4" customHeight="1" thickBot="1" x14ac:dyDescent="0.3">
      <c r="A151" s="368"/>
      <c r="B151" s="622"/>
      <c r="C151" s="624"/>
      <c r="D151" s="624"/>
      <c r="E151" s="242"/>
      <c r="F151" s="626"/>
      <c r="G151" s="626"/>
      <c r="H151" s="244"/>
      <c r="I151" s="628"/>
      <c r="J151" s="372"/>
      <c r="K151" s="373" t="s">
        <v>662</v>
      </c>
      <c r="L151" s="240"/>
      <c r="M151" s="240"/>
      <c r="N151" s="240"/>
      <c r="O151" s="247"/>
      <c r="P151" s="246"/>
      <c r="Q151" s="268"/>
      <c r="R151" s="269"/>
      <c r="S151" s="250" t="s">
        <v>662</v>
      </c>
      <c r="T151" s="332"/>
      <c r="U151" s="332"/>
      <c r="V151" s="332"/>
      <c r="W151" s="252"/>
      <c r="X151" s="252"/>
      <c r="Y151" s="252">
        <f>((SUM(Y150:$AE150))*($L150+$M150))</f>
        <v>7441.2</v>
      </c>
      <c r="Z151" s="252">
        <f>((SUM(Z150:$AE150))*($L150+$M150))</f>
        <v>6821.0999999999995</v>
      </c>
      <c r="AA151" s="252">
        <f>((SUM(AA150:$AE150))*($L150+$M150))</f>
        <v>6201</v>
      </c>
      <c r="AB151" s="252">
        <f>((SUM(AB150:$AE150))*($L150+$M150))</f>
        <v>5580.9</v>
      </c>
      <c r="AC151" s="252">
        <f>((SUM(AC150:$AE150))*($L150+$M150))</f>
        <v>4960.8</v>
      </c>
      <c r="AD151" s="252">
        <f>((SUM(AD150:$AE150))*($L150+$M150))</f>
        <v>4340.7</v>
      </c>
      <c r="AE151" s="252">
        <f>((SUM(AE150:$AE150))*($L150+$M150))*2</f>
        <v>7441.2</v>
      </c>
      <c r="AF151" s="369">
        <f t="shared" si="11"/>
        <v>42786.899999999994</v>
      </c>
      <c r="AG151" s="236"/>
      <c r="AH151" s="236"/>
    </row>
    <row r="152" spans="1:34" s="254" customFormat="1" ht="14.4" customHeight="1" x14ac:dyDescent="0.25">
      <c r="A152" s="366">
        <v>63</v>
      </c>
      <c r="B152" s="621" t="s">
        <v>300</v>
      </c>
      <c r="C152" s="623" t="s">
        <v>972</v>
      </c>
      <c r="D152" s="623"/>
      <c r="E152" s="312">
        <v>44594</v>
      </c>
      <c r="F152" s="625">
        <v>2023</v>
      </c>
      <c r="G152" s="625">
        <v>2038</v>
      </c>
      <c r="H152" s="222"/>
      <c r="I152" s="627">
        <v>645000</v>
      </c>
      <c r="J152" s="370"/>
      <c r="K152" s="371" t="s">
        <v>660</v>
      </c>
      <c r="L152" s="326">
        <f>$L$7</f>
        <v>1.6580000000000001E-2</v>
      </c>
      <c r="M152" s="226">
        <f>$M$7</f>
        <v>2.5000000000000001E-3</v>
      </c>
      <c r="N152" s="227"/>
      <c r="O152" s="228"/>
      <c r="P152" s="229"/>
      <c r="Q152" s="230"/>
      <c r="R152" s="231"/>
      <c r="S152" s="264" t="s">
        <v>660</v>
      </c>
      <c r="T152" s="234"/>
      <c r="U152" s="234"/>
      <c r="V152" s="273">
        <v>0</v>
      </c>
      <c r="W152" s="273">
        <v>0</v>
      </c>
      <c r="X152" s="234"/>
      <c r="Y152" s="234">
        <f>$I$152/15</f>
        <v>43000</v>
      </c>
      <c r="Z152" s="234">
        <f t="shared" ref="Z152:AD152" si="13">$I$152/15</f>
        <v>43000</v>
      </c>
      <c r="AA152" s="234">
        <f t="shared" si="13"/>
        <v>43000</v>
      </c>
      <c r="AB152" s="234">
        <f t="shared" si="13"/>
        <v>43000</v>
      </c>
      <c r="AC152" s="234">
        <f t="shared" si="13"/>
        <v>43000</v>
      </c>
      <c r="AD152" s="234">
        <f t="shared" si="13"/>
        <v>43000</v>
      </c>
      <c r="AE152" s="273">
        <f>I152-SUM(Y152:AD152)</f>
        <v>387000</v>
      </c>
      <c r="AF152" s="367">
        <f t="shared" si="11"/>
        <v>645000</v>
      </c>
      <c r="AG152" s="236"/>
      <c r="AH152" s="236"/>
    </row>
    <row r="153" spans="1:34" s="254" customFormat="1" ht="14.4" customHeight="1" thickBot="1" x14ac:dyDescent="0.3">
      <c r="A153" s="368"/>
      <c r="B153" s="622"/>
      <c r="C153" s="624"/>
      <c r="D153" s="624"/>
      <c r="E153" s="242"/>
      <c r="F153" s="626"/>
      <c r="G153" s="626"/>
      <c r="H153" s="244"/>
      <c r="I153" s="628"/>
      <c r="J153" s="372"/>
      <c r="K153" s="373" t="s">
        <v>662</v>
      </c>
      <c r="L153" s="240"/>
      <c r="M153" s="240"/>
      <c r="N153" s="240"/>
      <c r="O153" s="247"/>
      <c r="P153" s="246"/>
      <c r="Q153" s="268"/>
      <c r="R153" s="269"/>
      <c r="S153" s="250" t="s">
        <v>662</v>
      </c>
      <c r="T153" s="332"/>
      <c r="U153" s="332"/>
      <c r="V153" s="332"/>
      <c r="W153" s="252"/>
      <c r="X153" s="252"/>
      <c r="Y153" s="252">
        <f>((SUM(Y152:$AE152))*($L152+$M152))</f>
        <v>12306.6</v>
      </c>
      <c r="Z153" s="252">
        <f>((SUM(Z152:$AE152))*($L152+$M152))</f>
        <v>11486.16</v>
      </c>
      <c r="AA153" s="252">
        <f>((SUM(AA152:$AE152))*($L152+$M152))</f>
        <v>10665.72</v>
      </c>
      <c r="AB153" s="252">
        <f>((SUM(AB152:$AE152))*($L152+$M152))</f>
        <v>9845.2800000000007</v>
      </c>
      <c r="AC153" s="252">
        <f>((SUM(AC152:$AE152))*($L152+$M152))</f>
        <v>9024.84</v>
      </c>
      <c r="AD153" s="252">
        <f>((SUM(AD152:$AE152))*($L152+$M152))</f>
        <v>8204.4</v>
      </c>
      <c r="AE153" s="252">
        <f>((SUM(AE152:$AE152))*($L152+$M152))*2</f>
        <v>14767.92</v>
      </c>
      <c r="AF153" s="369">
        <f t="shared" si="11"/>
        <v>76300.920000000013</v>
      </c>
      <c r="AG153" s="236"/>
      <c r="AH153" s="236"/>
    </row>
    <row r="154" spans="1:34" s="254" customFormat="1" ht="14.4" customHeight="1" x14ac:dyDescent="0.25">
      <c r="A154" s="366">
        <v>64</v>
      </c>
      <c r="B154" s="621" t="s">
        <v>223</v>
      </c>
      <c r="C154" s="623" t="s">
        <v>972</v>
      </c>
      <c r="D154" s="623"/>
      <c r="E154" s="312">
        <v>44594</v>
      </c>
      <c r="F154" s="625">
        <v>2023</v>
      </c>
      <c r="G154" s="625">
        <v>2028</v>
      </c>
      <c r="H154" s="222"/>
      <c r="I154" s="627">
        <v>164032</v>
      </c>
      <c r="J154" s="370"/>
      <c r="K154" s="371" t="s">
        <v>660</v>
      </c>
      <c r="L154" s="326">
        <f>$L$7</f>
        <v>1.6580000000000001E-2</v>
      </c>
      <c r="M154" s="226">
        <f>$M$7</f>
        <v>2.5000000000000001E-3</v>
      </c>
      <c r="N154" s="227"/>
      <c r="O154" s="228"/>
      <c r="P154" s="229"/>
      <c r="Q154" s="230"/>
      <c r="R154" s="231"/>
      <c r="S154" s="264" t="s">
        <v>660</v>
      </c>
      <c r="T154" s="234"/>
      <c r="U154" s="234"/>
      <c r="V154" s="273">
        <v>0</v>
      </c>
      <c r="W154" s="273">
        <v>0</v>
      </c>
      <c r="X154" s="234"/>
      <c r="Y154" s="234">
        <f>$I$154/5</f>
        <v>32806.400000000001</v>
      </c>
      <c r="Z154" s="234">
        <f t="shared" ref="Z154:AC154" si="14">$I$154/5</f>
        <v>32806.400000000001</v>
      </c>
      <c r="AA154" s="234">
        <f t="shared" si="14"/>
        <v>32806.400000000001</v>
      </c>
      <c r="AB154" s="234">
        <f t="shared" si="14"/>
        <v>32806.400000000001</v>
      </c>
      <c r="AC154" s="234">
        <f t="shared" si="14"/>
        <v>32806.400000000001</v>
      </c>
      <c r="AD154" s="234"/>
      <c r="AE154" s="273"/>
      <c r="AF154" s="367">
        <f t="shared" ref="AF154:AF155" si="15">SUM(X154:AE154)</f>
        <v>164032</v>
      </c>
      <c r="AG154" s="236"/>
      <c r="AH154" s="236"/>
    </row>
    <row r="155" spans="1:34" s="254" customFormat="1" ht="14.4" customHeight="1" thickBot="1" x14ac:dyDescent="0.3">
      <c r="A155" s="368"/>
      <c r="B155" s="622"/>
      <c r="C155" s="624"/>
      <c r="D155" s="624"/>
      <c r="E155" s="242"/>
      <c r="F155" s="626"/>
      <c r="G155" s="626"/>
      <c r="H155" s="244"/>
      <c r="I155" s="628"/>
      <c r="J155" s="372"/>
      <c r="K155" s="373" t="s">
        <v>662</v>
      </c>
      <c r="L155" s="240"/>
      <c r="M155" s="240"/>
      <c r="N155" s="240"/>
      <c r="O155" s="247"/>
      <c r="P155" s="246"/>
      <c r="Q155" s="268"/>
      <c r="R155" s="269"/>
      <c r="S155" s="250" t="s">
        <v>662</v>
      </c>
      <c r="T155" s="332"/>
      <c r="U155" s="332"/>
      <c r="V155" s="332"/>
      <c r="W155" s="252"/>
      <c r="X155" s="252"/>
      <c r="Y155" s="252">
        <f>((SUM(Y154:$AE154))*($L154+$M154))</f>
        <v>3129.73056</v>
      </c>
      <c r="Z155" s="252">
        <f>((SUM(Z154:$AE154))*($L154+$M154))</f>
        <v>2503.7844479999999</v>
      </c>
      <c r="AA155" s="252">
        <f>((SUM(AA154:$AE154))*($L154+$M154))</f>
        <v>1877.8383360000003</v>
      </c>
      <c r="AB155" s="252">
        <f>((SUM(AB154:$AE154))*($L154+$M154))</f>
        <v>1251.8922239999999</v>
      </c>
      <c r="AC155" s="252">
        <f>((SUM(AC154:$AE154))*($L154+$M154))</f>
        <v>625.94611199999997</v>
      </c>
      <c r="AD155" s="252">
        <f>((SUM(AD154:$AE154))*($L154+$M154))</f>
        <v>0</v>
      </c>
      <c r="AE155" s="252">
        <f>((SUM(AE154:$AE154))*($L154+$M154))*2</f>
        <v>0</v>
      </c>
      <c r="AF155" s="369">
        <f t="shared" si="15"/>
        <v>9389.1916799999999</v>
      </c>
      <c r="AG155" s="236"/>
      <c r="AH155" s="236"/>
    </row>
    <row r="156" spans="1:34" s="254" customFormat="1" ht="14.4" customHeight="1" x14ac:dyDescent="0.25">
      <c r="A156" s="366">
        <v>65</v>
      </c>
      <c r="B156" s="621" t="s">
        <v>225</v>
      </c>
      <c r="C156" s="623" t="s">
        <v>972</v>
      </c>
      <c r="D156" s="623"/>
      <c r="E156" s="312">
        <v>44594</v>
      </c>
      <c r="F156" s="625">
        <v>2023</v>
      </c>
      <c r="G156" s="625">
        <v>2038</v>
      </c>
      <c r="H156" s="222"/>
      <c r="I156" s="627">
        <v>907235</v>
      </c>
      <c r="J156" s="370"/>
      <c r="K156" s="371" t="s">
        <v>660</v>
      </c>
      <c r="L156" s="326">
        <f>$L$7</f>
        <v>1.6580000000000001E-2</v>
      </c>
      <c r="M156" s="226">
        <f>$M$7</f>
        <v>2.5000000000000001E-3</v>
      </c>
      <c r="N156" s="227"/>
      <c r="O156" s="228"/>
      <c r="P156" s="229"/>
      <c r="Q156" s="230"/>
      <c r="R156" s="231"/>
      <c r="S156" s="264" t="s">
        <v>660</v>
      </c>
      <c r="T156" s="234"/>
      <c r="U156" s="234"/>
      <c r="V156" s="273">
        <v>0</v>
      </c>
      <c r="W156" s="273">
        <v>0</v>
      </c>
      <c r="X156" s="234"/>
      <c r="Y156" s="234">
        <f>$I$156/15</f>
        <v>60482.333333333336</v>
      </c>
      <c r="Z156" s="234">
        <f t="shared" ref="Z156:AD156" si="16">$I$156/15</f>
        <v>60482.333333333336</v>
      </c>
      <c r="AA156" s="234">
        <f t="shared" si="16"/>
        <v>60482.333333333336</v>
      </c>
      <c r="AB156" s="234">
        <f t="shared" si="16"/>
        <v>60482.333333333336</v>
      </c>
      <c r="AC156" s="234">
        <f t="shared" si="16"/>
        <v>60482.333333333336</v>
      </c>
      <c r="AD156" s="234">
        <f t="shared" si="16"/>
        <v>60482.333333333336</v>
      </c>
      <c r="AE156" s="273">
        <f>I156-SUM(Y156:AD156)</f>
        <v>544341</v>
      </c>
      <c r="AF156" s="367">
        <f t="shared" ref="AF156:AF161" si="17">SUM(X156:AE156)</f>
        <v>907235</v>
      </c>
      <c r="AG156" s="236"/>
      <c r="AH156" s="236"/>
    </row>
    <row r="157" spans="1:34" s="254" customFormat="1" ht="14.4" customHeight="1" thickBot="1" x14ac:dyDescent="0.3">
      <c r="A157" s="368"/>
      <c r="B157" s="622"/>
      <c r="C157" s="624"/>
      <c r="D157" s="624"/>
      <c r="E157" s="242"/>
      <c r="F157" s="626"/>
      <c r="G157" s="626"/>
      <c r="H157" s="244"/>
      <c r="I157" s="628"/>
      <c r="J157" s="372"/>
      <c r="K157" s="373" t="s">
        <v>662</v>
      </c>
      <c r="L157" s="240"/>
      <c r="M157" s="240"/>
      <c r="N157" s="240"/>
      <c r="O157" s="247"/>
      <c r="P157" s="246"/>
      <c r="Q157" s="268"/>
      <c r="R157" s="269"/>
      <c r="S157" s="250" t="s">
        <v>662</v>
      </c>
      <c r="T157" s="332"/>
      <c r="U157" s="332"/>
      <c r="V157" s="332"/>
      <c r="W157" s="252"/>
      <c r="X157" s="252"/>
      <c r="Y157" s="252">
        <f>((SUM(Y156:$AE156))*($L156+$M156))</f>
        <v>17310.043799999999</v>
      </c>
      <c r="Z157" s="252">
        <f>((SUM(Z156:$AE156))*($L156+$M156))</f>
        <v>16156.04088</v>
      </c>
      <c r="AA157" s="252">
        <f>((SUM(AA156:$AE156))*($L156+$M156))</f>
        <v>15002.03796</v>
      </c>
      <c r="AB157" s="252">
        <f>((SUM(AB156:$AE156))*($L156+$M156))</f>
        <v>13848.035040000001</v>
      </c>
      <c r="AC157" s="252">
        <f>((SUM(AC156:$AE156))*($L156+$M156))</f>
        <v>12694.03212</v>
      </c>
      <c r="AD157" s="252">
        <f>((SUM(AD156:$AE156))*($L156+$M156))</f>
        <v>11540.029200000001</v>
      </c>
      <c r="AE157" s="252">
        <f>((SUM(AE156:$AE156))*($L156+$M156))*2</f>
        <v>20772.05256</v>
      </c>
      <c r="AF157" s="369">
        <f t="shared" si="17"/>
        <v>107322.27156000001</v>
      </c>
      <c r="AG157" s="236"/>
      <c r="AH157" s="236"/>
    </row>
    <row r="158" spans="1:34" s="254" customFormat="1" ht="14.4" customHeight="1" x14ac:dyDescent="0.25">
      <c r="A158" s="374">
        <v>66</v>
      </c>
      <c r="B158" s="621" t="s">
        <v>304</v>
      </c>
      <c r="C158" s="623" t="s">
        <v>972</v>
      </c>
      <c r="D158" s="623"/>
      <c r="E158" s="312">
        <v>44594</v>
      </c>
      <c r="F158" s="625">
        <v>2023</v>
      </c>
      <c r="G158" s="625">
        <v>2038</v>
      </c>
      <c r="H158" s="222"/>
      <c r="I158" s="627">
        <v>203000</v>
      </c>
      <c r="J158" s="370"/>
      <c r="K158" s="371" t="s">
        <v>660</v>
      </c>
      <c r="L158" s="326">
        <f>$L$7</f>
        <v>1.6580000000000001E-2</v>
      </c>
      <c r="M158" s="226">
        <f>$M$7</f>
        <v>2.5000000000000001E-3</v>
      </c>
      <c r="N158" s="227"/>
      <c r="O158" s="228"/>
      <c r="P158" s="229"/>
      <c r="Q158" s="230"/>
      <c r="R158" s="231"/>
      <c r="S158" s="264" t="s">
        <v>660</v>
      </c>
      <c r="T158" s="234"/>
      <c r="U158" s="234"/>
      <c r="V158" s="273">
        <v>0</v>
      </c>
      <c r="W158" s="273">
        <v>0</v>
      </c>
      <c r="X158" s="234"/>
      <c r="Y158" s="234">
        <f>$I$158/15</f>
        <v>13533.333333333334</v>
      </c>
      <c r="Z158" s="234">
        <f t="shared" ref="Z158:AD158" si="18">$I$158/15</f>
        <v>13533.333333333334</v>
      </c>
      <c r="AA158" s="234">
        <f t="shared" si="18"/>
        <v>13533.333333333334</v>
      </c>
      <c r="AB158" s="234">
        <f t="shared" si="18"/>
        <v>13533.333333333334</v>
      </c>
      <c r="AC158" s="234">
        <f t="shared" si="18"/>
        <v>13533.333333333334</v>
      </c>
      <c r="AD158" s="234">
        <f t="shared" si="18"/>
        <v>13533.333333333334</v>
      </c>
      <c r="AE158" s="273">
        <f>I158-SUM(Y158:AD158)</f>
        <v>121800</v>
      </c>
      <c r="AF158" s="367">
        <f t="shared" si="17"/>
        <v>203000</v>
      </c>
      <c r="AG158" s="236"/>
      <c r="AH158" s="236"/>
    </row>
    <row r="159" spans="1:34" s="254" customFormat="1" ht="14.4" customHeight="1" thickBot="1" x14ac:dyDescent="0.3">
      <c r="A159" s="375"/>
      <c r="B159" s="622"/>
      <c r="C159" s="624"/>
      <c r="D159" s="624"/>
      <c r="E159" s="242"/>
      <c r="F159" s="626"/>
      <c r="G159" s="626"/>
      <c r="H159" s="244"/>
      <c r="I159" s="628"/>
      <c r="J159" s="372"/>
      <c r="K159" s="373" t="s">
        <v>662</v>
      </c>
      <c r="L159" s="240"/>
      <c r="M159" s="240"/>
      <c r="N159" s="240"/>
      <c r="O159" s="247"/>
      <c r="P159" s="246"/>
      <c r="Q159" s="268"/>
      <c r="R159" s="269"/>
      <c r="S159" s="250" t="s">
        <v>662</v>
      </c>
      <c r="T159" s="332"/>
      <c r="U159" s="332"/>
      <c r="V159" s="332"/>
      <c r="W159" s="252"/>
      <c r="X159" s="252"/>
      <c r="Y159" s="252">
        <f>((SUM(Y158:$AE158))*($L158+$M158))</f>
        <v>3873.24</v>
      </c>
      <c r="Z159" s="252">
        <f>((SUM(Z158:$AE158))*($L158+$M158))</f>
        <v>3615.0240000000003</v>
      </c>
      <c r="AA159" s="252">
        <f>((SUM(AA158:$AE158))*($L158+$M158))</f>
        <v>3356.808</v>
      </c>
      <c r="AB159" s="252">
        <f>((SUM(AB158:$AE158))*($L158+$M158))</f>
        <v>3098.5920000000001</v>
      </c>
      <c r="AC159" s="252">
        <f>((SUM(AC158:$AE158))*($L158+$M158))</f>
        <v>2840.3759999999997</v>
      </c>
      <c r="AD159" s="252">
        <f>((SUM(AD158:$AE158))*($L158+$M158))</f>
        <v>2582.1600000000003</v>
      </c>
      <c r="AE159" s="252">
        <f>((SUM(AE158:$AE158))*($L158+$M158))*2</f>
        <v>4647.8879999999999</v>
      </c>
      <c r="AF159" s="369">
        <f t="shared" si="17"/>
        <v>24014.088</v>
      </c>
      <c r="AG159" s="236"/>
      <c r="AH159" s="236"/>
    </row>
    <row r="160" spans="1:34" s="254" customFormat="1" ht="14.4" customHeight="1" x14ac:dyDescent="0.25">
      <c r="A160" s="374">
        <v>67</v>
      </c>
      <c r="B160" s="621" t="s">
        <v>306</v>
      </c>
      <c r="C160" s="623" t="s">
        <v>972</v>
      </c>
      <c r="D160" s="623"/>
      <c r="E160" s="312">
        <v>44594</v>
      </c>
      <c r="F160" s="625">
        <v>2023</v>
      </c>
      <c r="G160" s="625">
        <v>2030</v>
      </c>
      <c r="H160" s="222"/>
      <c r="I160" s="627">
        <v>126000</v>
      </c>
      <c r="J160" s="370"/>
      <c r="K160" s="371" t="s">
        <v>660</v>
      </c>
      <c r="L160" s="326">
        <f>$L$7</f>
        <v>1.6580000000000001E-2</v>
      </c>
      <c r="M160" s="226">
        <f>$M$7</f>
        <v>2.5000000000000001E-3</v>
      </c>
      <c r="N160" s="227"/>
      <c r="O160" s="228"/>
      <c r="P160" s="229"/>
      <c r="Q160" s="230"/>
      <c r="R160" s="231"/>
      <c r="S160" s="264" t="s">
        <v>660</v>
      </c>
      <c r="T160" s="234"/>
      <c r="U160" s="234"/>
      <c r="V160" s="273">
        <v>0</v>
      </c>
      <c r="W160" s="273">
        <v>0</v>
      </c>
      <c r="X160" s="234"/>
      <c r="Y160" s="234">
        <f>$I$160/7</f>
        <v>18000</v>
      </c>
      <c r="Z160" s="234">
        <f t="shared" ref="Z160:AD160" si="19">$I$160/7</f>
        <v>18000</v>
      </c>
      <c r="AA160" s="234">
        <f t="shared" si="19"/>
        <v>18000</v>
      </c>
      <c r="AB160" s="234">
        <f t="shared" si="19"/>
        <v>18000</v>
      </c>
      <c r="AC160" s="234">
        <f t="shared" si="19"/>
        <v>18000</v>
      </c>
      <c r="AD160" s="234">
        <f t="shared" si="19"/>
        <v>18000</v>
      </c>
      <c r="AE160" s="273">
        <f>I160-SUM(Y160:AD160)</f>
        <v>18000</v>
      </c>
      <c r="AF160" s="367">
        <f t="shared" si="17"/>
        <v>126000</v>
      </c>
      <c r="AG160" s="236"/>
      <c r="AH160" s="236"/>
    </row>
    <row r="161" spans="1:35" s="254" customFormat="1" ht="14.4" customHeight="1" thickBot="1" x14ac:dyDescent="0.3">
      <c r="A161" s="375"/>
      <c r="B161" s="622"/>
      <c r="C161" s="624"/>
      <c r="D161" s="624"/>
      <c r="E161" s="242"/>
      <c r="F161" s="626"/>
      <c r="G161" s="626"/>
      <c r="H161" s="244"/>
      <c r="I161" s="628"/>
      <c r="J161" s="372"/>
      <c r="K161" s="373" t="s">
        <v>662</v>
      </c>
      <c r="L161" s="240"/>
      <c r="M161" s="240"/>
      <c r="N161" s="240"/>
      <c r="O161" s="247"/>
      <c r="P161" s="246"/>
      <c r="Q161" s="268"/>
      <c r="R161" s="269"/>
      <c r="S161" s="250" t="s">
        <v>662</v>
      </c>
      <c r="T161" s="332"/>
      <c r="U161" s="332"/>
      <c r="V161" s="332"/>
      <c r="W161" s="252"/>
      <c r="X161" s="252"/>
      <c r="Y161" s="252">
        <f>((SUM(Y160:$AE160))*($L160+$M160))</f>
        <v>2404.08</v>
      </c>
      <c r="Z161" s="252">
        <f>((SUM(Z160:$AE160))*($L160+$M160))</f>
        <v>2060.64</v>
      </c>
      <c r="AA161" s="252">
        <f>((SUM(AA160:$AE160))*($L160+$M160))</f>
        <v>1717.2</v>
      </c>
      <c r="AB161" s="252">
        <f>((SUM(AB160:$AE160))*($L160+$M160))</f>
        <v>1373.76</v>
      </c>
      <c r="AC161" s="252">
        <f>((SUM(AC160:$AE160))*($L160+$M160))</f>
        <v>1030.32</v>
      </c>
      <c r="AD161" s="252">
        <f>((SUM(AD160:$AE160))*($L160+$M160))</f>
        <v>686.88</v>
      </c>
      <c r="AE161" s="252">
        <f>((SUM(AE160:$AE160))*($L160+$M160))*2</f>
        <v>686.88</v>
      </c>
      <c r="AF161" s="369">
        <f t="shared" si="17"/>
        <v>9959.7599999999984</v>
      </c>
      <c r="AG161" s="236"/>
      <c r="AH161" s="236"/>
    </row>
    <row r="162" spans="1:35" s="254" customFormat="1" ht="14.4" outlineLevel="1" x14ac:dyDescent="0.3">
      <c r="A162" s="376"/>
      <c r="B162" s="377"/>
      <c r="C162" s="378"/>
      <c r="D162" s="378"/>
      <c r="E162" s="379"/>
      <c r="F162" s="379"/>
      <c r="G162" s="378"/>
      <c r="H162" s="380"/>
      <c r="I162" s="381"/>
      <c r="J162" s="382"/>
      <c r="K162" s="277"/>
      <c r="L162" s="378"/>
      <c r="M162" s="378"/>
      <c r="N162" s="378"/>
      <c r="O162" s="383"/>
      <c r="P162" s="277"/>
      <c r="Q162" s="384"/>
      <c r="R162" s="384"/>
      <c r="S162" s="379" t="s">
        <v>974</v>
      </c>
      <c r="T162" s="385"/>
      <c r="U162" s="386">
        <f t="shared" ref="U162:W162" si="20">SUM(U10:U139)</f>
        <v>1369725.3362392264</v>
      </c>
      <c r="V162" s="386">
        <f t="shared" si="20"/>
        <v>4080093.6945923315</v>
      </c>
      <c r="W162" s="386">
        <f t="shared" si="20"/>
        <v>3717826.1010774849</v>
      </c>
      <c r="X162" s="387">
        <f>SUM(X10:X161)</f>
        <v>4649229.3018702939</v>
      </c>
      <c r="Y162" s="387">
        <f>SUM(Y10:Y161)</f>
        <v>4747652.5707476866</v>
      </c>
      <c r="Z162" s="387">
        <f t="shared" ref="Z162:AF162" si="21">SUM(Z10:Z161)</f>
        <v>4603483.0791640775</v>
      </c>
      <c r="AA162" s="387">
        <f t="shared" si="21"/>
        <v>4484724.3915907685</v>
      </c>
      <c r="AB162" s="387">
        <f t="shared" si="21"/>
        <v>4272710.8730171602</v>
      </c>
      <c r="AC162" s="387">
        <f t="shared" si="21"/>
        <v>4150387.0337235536</v>
      </c>
      <c r="AD162" s="387">
        <f t="shared" si="21"/>
        <v>3968886.9892799444</v>
      </c>
      <c r="AE162" s="387">
        <f t="shared" si="21"/>
        <v>42370705.396638446</v>
      </c>
      <c r="AF162" s="387">
        <f t="shared" si="21"/>
        <v>73247779.636031941</v>
      </c>
      <c r="AG162" s="388"/>
      <c r="AH162" s="236"/>
    </row>
    <row r="163" spans="1:35" x14ac:dyDescent="0.25">
      <c r="H163" s="389"/>
      <c r="I163" s="390"/>
      <c r="J163" s="389"/>
      <c r="K163" s="390"/>
      <c r="O163" s="391"/>
      <c r="P163" s="390"/>
      <c r="X163" s="392"/>
      <c r="Y163" s="392"/>
      <c r="Z163" s="392"/>
      <c r="AA163" s="392"/>
      <c r="AB163" s="392"/>
      <c r="AC163" s="392"/>
      <c r="AD163" s="392"/>
      <c r="AE163" s="392"/>
      <c r="AF163" s="392"/>
      <c r="AH163" s="236"/>
    </row>
    <row r="164" spans="1:35" s="254" customFormat="1" ht="13.95" hidden="1" customHeight="1" outlineLevel="1" x14ac:dyDescent="0.2">
      <c r="A164" s="376"/>
      <c r="B164" s="393" t="s">
        <v>606</v>
      </c>
      <c r="C164" s="394"/>
      <c r="D164" s="395"/>
      <c r="E164" s="396"/>
      <c r="F164" s="393" t="s">
        <v>975</v>
      </c>
      <c r="G164" s="393"/>
      <c r="H164" s="397"/>
      <c r="I164" s="398"/>
      <c r="J164" s="399"/>
      <c r="K164" s="400"/>
      <c r="L164" s="398"/>
      <c r="M164" s="398"/>
      <c r="N164" s="398"/>
      <c r="O164" s="398"/>
      <c r="P164" s="398"/>
      <c r="Q164" s="398">
        <f t="shared" ref="Q164:R164" si="22">SUM(Q10:Q163)</f>
        <v>9816171</v>
      </c>
      <c r="R164" s="398">
        <f t="shared" si="22"/>
        <v>9638788</v>
      </c>
      <c r="S164" s="401" t="s">
        <v>660</v>
      </c>
      <c r="T164" s="402"/>
      <c r="U164" s="403">
        <f t="shared" ref="U164:AE165" si="23">SUMIF($S$10:$S$69,$S164,U$10:U$69)</f>
        <v>1100521.7431783541</v>
      </c>
      <c r="V164" s="403">
        <f t="shared" si="23"/>
        <v>2313981.0731783542</v>
      </c>
      <c r="W164" s="403">
        <f t="shared" si="23"/>
        <v>1761953.5999999999</v>
      </c>
      <c r="X164" s="404">
        <f t="shared" si="23"/>
        <v>1831719.1379218104</v>
      </c>
      <c r="Y164" s="403">
        <f t="shared" si="23"/>
        <v>1813667.8379218103</v>
      </c>
      <c r="Z164" s="403">
        <f t="shared" si="23"/>
        <v>1804908.1679218104</v>
      </c>
      <c r="AA164" s="403">
        <f t="shared" si="23"/>
        <v>1782158.8379218101</v>
      </c>
      <c r="AB164" s="403">
        <f t="shared" si="23"/>
        <v>1736214.8379218103</v>
      </c>
      <c r="AC164" s="403">
        <f t="shared" si="23"/>
        <v>1692649.8379218103</v>
      </c>
      <c r="AD164" s="403">
        <f t="shared" si="23"/>
        <v>1663423.8379218103</v>
      </c>
      <c r="AE164" s="403">
        <f t="shared" si="23"/>
        <v>12947279.718703706</v>
      </c>
      <c r="AF164" s="403">
        <f>SUM(X164:AE164)</f>
        <v>25272022.214156378</v>
      </c>
      <c r="AH164" s="236"/>
      <c r="AI164" s="405">
        <f>AF164-AH164</f>
        <v>25272022.214156378</v>
      </c>
    </row>
    <row r="165" spans="1:35" s="254" customFormat="1" ht="13.95" hidden="1" customHeight="1" outlineLevel="1" thickBot="1" x14ac:dyDescent="0.25">
      <c r="A165" s="376"/>
      <c r="B165" s="406"/>
      <c r="C165" s="407"/>
      <c r="D165" s="408"/>
      <c r="E165" s="409"/>
      <c r="F165" s="410" t="s">
        <v>976</v>
      </c>
      <c r="G165" s="411"/>
      <c r="H165" s="412"/>
      <c r="I165" s="413"/>
      <c r="J165" s="414"/>
      <c r="K165" s="415"/>
      <c r="L165" s="413"/>
      <c r="M165" s="413"/>
      <c r="N165" s="413"/>
      <c r="O165" s="413"/>
      <c r="P165" s="413"/>
      <c r="Q165" s="413"/>
      <c r="R165" s="413"/>
      <c r="S165" s="413" t="s">
        <v>662</v>
      </c>
      <c r="T165" s="416"/>
      <c r="U165" s="417">
        <f t="shared" si="23"/>
        <v>269203.59306087194</v>
      </c>
      <c r="V165" s="417">
        <f t="shared" si="23"/>
        <v>493260.21641397773</v>
      </c>
      <c r="W165" s="417">
        <f t="shared" si="23"/>
        <v>517432.22777248354</v>
      </c>
      <c r="X165" s="418">
        <f t="shared" si="23"/>
        <v>503393.41598848347</v>
      </c>
      <c r="Y165" s="417">
        <f t="shared" si="23"/>
        <v>466795.28154587554</v>
      </c>
      <c r="Z165" s="417">
        <f t="shared" si="23"/>
        <v>430527.26238026732</v>
      </c>
      <c r="AA165" s="417">
        <f t="shared" si="23"/>
        <v>394435.22498495888</v>
      </c>
      <c r="AB165" s="417">
        <f t="shared" si="23"/>
        <v>358799.96594935097</v>
      </c>
      <c r="AC165" s="417">
        <f t="shared" si="23"/>
        <v>324087.72187374264</v>
      </c>
      <c r="AD165" s="417">
        <f t="shared" si="23"/>
        <v>290250.6986481346</v>
      </c>
      <c r="AE165" s="417">
        <f t="shared" si="23"/>
        <v>3460738.7371507417</v>
      </c>
      <c r="AF165" s="417">
        <f>SUM(X165:AE165)</f>
        <v>6229028.3085215557</v>
      </c>
      <c r="AH165" s="236"/>
      <c r="AI165" s="405">
        <f t="shared" ref="AI165:AI174" si="24">AF165-AH165</f>
        <v>6229028.3085215557</v>
      </c>
    </row>
    <row r="166" spans="1:35" s="254" customFormat="1" ht="13.95" hidden="1" customHeight="1" outlineLevel="1" thickTop="1" x14ac:dyDescent="0.2">
      <c r="A166" s="376"/>
      <c r="B166" s="419"/>
      <c r="C166" s="394"/>
      <c r="D166" s="395"/>
      <c r="E166" s="396"/>
      <c r="F166" s="393" t="s">
        <v>977</v>
      </c>
      <c r="G166" s="393"/>
      <c r="H166" s="397"/>
      <c r="I166" s="398"/>
      <c r="J166" s="399"/>
      <c r="K166" s="400"/>
      <c r="L166" s="398"/>
      <c r="M166" s="398"/>
      <c r="N166" s="398"/>
      <c r="O166" s="398"/>
      <c r="P166" s="398"/>
      <c r="Q166" s="398"/>
      <c r="R166" s="398"/>
      <c r="S166" s="398"/>
      <c r="T166" s="402"/>
      <c r="U166" s="403">
        <f>SUM(U164:U165)</f>
        <v>1369725.3362392262</v>
      </c>
      <c r="V166" s="403">
        <f t="shared" ref="V166:AE166" si="25">SUM(V164:V165)</f>
        <v>2807241.2895923317</v>
      </c>
      <c r="W166" s="403">
        <f t="shared" si="25"/>
        <v>2279385.8277724832</v>
      </c>
      <c r="X166" s="420">
        <f t="shared" si="25"/>
        <v>2335112.5539102936</v>
      </c>
      <c r="Y166" s="403">
        <f t="shared" si="25"/>
        <v>2280463.1194676859</v>
      </c>
      <c r="Z166" s="403">
        <f t="shared" si="25"/>
        <v>2235435.4303020779</v>
      </c>
      <c r="AA166" s="403">
        <f t="shared" si="25"/>
        <v>2176594.0629067691</v>
      </c>
      <c r="AB166" s="403">
        <f t="shared" si="25"/>
        <v>2095014.8038711613</v>
      </c>
      <c r="AC166" s="403">
        <f t="shared" si="25"/>
        <v>2016737.5597955529</v>
      </c>
      <c r="AD166" s="403">
        <f t="shared" si="25"/>
        <v>1953674.536569945</v>
      </c>
      <c r="AE166" s="403">
        <f t="shared" si="25"/>
        <v>16408018.455854448</v>
      </c>
      <c r="AF166" s="403">
        <f>SUM(X166:AE166)</f>
        <v>31501050.522677936</v>
      </c>
      <c r="AH166" s="236"/>
      <c r="AI166" s="405">
        <f t="shared" si="24"/>
        <v>31501050.522677936</v>
      </c>
    </row>
    <row r="167" spans="1:35" s="254" customFormat="1" ht="5.25" hidden="1" customHeight="1" outlineLevel="1" x14ac:dyDescent="0.2">
      <c r="A167" s="376"/>
      <c r="B167" s="421"/>
      <c r="C167" s="377"/>
      <c r="D167" s="378"/>
      <c r="E167" s="422"/>
      <c r="F167" s="388"/>
      <c r="G167" s="388"/>
      <c r="H167" s="423"/>
      <c r="I167" s="277"/>
      <c r="J167" s="423"/>
      <c r="K167" s="277"/>
      <c r="L167" s="277"/>
      <c r="M167" s="277"/>
      <c r="N167" s="277"/>
      <c r="O167" s="277"/>
      <c r="P167" s="277"/>
      <c r="Q167" s="277"/>
      <c r="R167" s="277"/>
      <c r="S167" s="277"/>
      <c r="T167" s="402"/>
      <c r="U167" s="385"/>
      <c r="V167" s="385"/>
      <c r="W167" s="385"/>
      <c r="X167" s="424"/>
      <c r="Y167" s="425"/>
      <c r="Z167" s="425"/>
      <c r="AA167" s="425"/>
      <c r="AB167" s="425"/>
      <c r="AC167" s="425"/>
      <c r="AD167" s="425"/>
      <c r="AE167" s="425"/>
      <c r="AF167" s="425"/>
      <c r="AH167" s="236"/>
      <c r="AI167" s="405">
        <f t="shared" si="24"/>
        <v>0</v>
      </c>
    </row>
    <row r="168" spans="1:35" s="254" customFormat="1" ht="13.95" hidden="1" customHeight="1" outlineLevel="1" x14ac:dyDescent="0.2">
      <c r="A168" s="376"/>
      <c r="B168" s="426" t="s">
        <v>609</v>
      </c>
      <c r="C168" s="427"/>
      <c r="D168" s="428"/>
      <c r="E168" s="429"/>
      <c r="F168" s="426" t="s">
        <v>975</v>
      </c>
      <c r="G168" s="426"/>
      <c r="H168" s="430"/>
      <c r="I168" s="431"/>
      <c r="J168" s="399"/>
      <c r="K168" s="400"/>
      <c r="L168" s="431"/>
      <c r="M168" s="431"/>
      <c r="N168" s="431"/>
      <c r="O168" s="431"/>
      <c r="P168" s="431"/>
      <c r="Q168" s="431">
        <f>SUM(Q11:Q164)</f>
        <v>17549429</v>
      </c>
      <c r="R168" s="431">
        <f>SUM(R11:R164)</f>
        <v>17211737</v>
      </c>
      <c r="S168" s="431" t="s">
        <v>660</v>
      </c>
      <c r="T168" s="402"/>
      <c r="U168" s="432"/>
      <c r="V168" s="432">
        <f>SUMIF($S$70:$S$139,$S168,V$70:V$139)</f>
        <v>1233073.6299999999</v>
      </c>
      <c r="W168" s="432">
        <f t="shared" ref="W168:AE169" si="26">SUMIF($S$70:$S$139,$S168,W$70:W$139)</f>
        <v>1362540</v>
      </c>
      <c r="X168" s="433">
        <f t="shared" si="26"/>
        <v>1770171</v>
      </c>
      <c r="Y168" s="432">
        <f t="shared" si="26"/>
        <v>1581492</v>
      </c>
      <c r="Z168" s="432">
        <f t="shared" si="26"/>
        <v>1518364</v>
      </c>
      <c r="AA168" s="432">
        <f t="shared" si="26"/>
        <v>1493256</v>
      </c>
      <c r="AB168" s="432">
        <f t="shared" si="26"/>
        <v>1397152</v>
      </c>
      <c r="AC168" s="432">
        <f t="shared" si="26"/>
        <v>1385602</v>
      </c>
      <c r="AD168" s="432">
        <f t="shared" si="26"/>
        <v>1351699</v>
      </c>
      <c r="AE168" s="432">
        <f t="shared" si="26"/>
        <v>18010951</v>
      </c>
      <c r="AF168" s="432">
        <f>SUM(X168:AE168)</f>
        <v>28508687</v>
      </c>
      <c r="AH168" s="236"/>
      <c r="AI168" s="405">
        <f t="shared" si="24"/>
        <v>28508687</v>
      </c>
    </row>
    <row r="169" spans="1:35" s="254" customFormat="1" ht="13.95" hidden="1" customHeight="1" outlineLevel="1" thickBot="1" x14ac:dyDescent="0.25">
      <c r="A169" s="376"/>
      <c r="B169" s="434"/>
      <c r="C169" s="435"/>
      <c r="D169" s="436"/>
      <c r="E169" s="437"/>
      <c r="F169" s="438" t="s">
        <v>976</v>
      </c>
      <c r="G169" s="439"/>
      <c r="H169" s="440"/>
      <c r="I169" s="441"/>
      <c r="J169" s="414"/>
      <c r="K169" s="415"/>
      <c r="L169" s="441"/>
      <c r="M169" s="441"/>
      <c r="N169" s="441"/>
      <c r="O169" s="441"/>
      <c r="P169" s="441"/>
      <c r="Q169" s="441"/>
      <c r="R169" s="441"/>
      <c r="S169" s="441" t="s">
        <v>662</v>
      </c>
      <c r="T169" s="416"/>
      <c r="U169" s="442"/>
      <c r="V169" s="442">
        <f>SUMIF($S$70:$S$139,$S169,V$70:V$139)</f>
        <v>39778.774999999994</v>
      </c>
      <c r="W169" s="442">
        <f t="shared" si="26"/>
        <v>75900.273305000024</v>
      </c>
      <c r="X169" s="443">
        <f t="shared" si="26"/>
        <v>543945.74796000007</v>
      </c>
      <c r="Y169" s="442">
        <f t="shared" si="26"/>
        <v>510170.88527999999</v>
      </c>
      <c r="Z169" s="442">
        <f t="shared" si="26"/>
        <v>479996.01791999995</v>
      </c>
      <c r="AA169" s="442">
        <f t="shared" si="26"/>
        <v>451025.63280000002</v>
      </c>
      <c r="AB169" s="442">
        <f t="shared" si="26"/>
        <v>422534.30832000007</v>
      </c>
      <c r="AC169" s="442">
        <f t="shared" si="26"/>
        <v>395876.64815999992</v>
      </c>
      <c r="AD169" s="442">
        <f t="shared" si="26"/>
        <v>369439.36200000002</v>
      </c>
      <c r="AE169" s="442">
        <f t="shared" si="26"/>
        <v>6021988.871832002</v>
      </c>
      <c r="AF169" s="442">
        <f>SUM(X169:AE169)</f>
        <v>9194977.4742720015</v>
      </c>
      <c r="AH169" s="236"/>
      <c r="AI169" s="405">
        <f t="shared" si="24"/>
        <v>9194977.4742720015</v>
      </c>
    </row>
    <row r="170" spans="1:35" s="254" customFormat="1" ht="13.95" hidden="1" customHeight="1" outlineLevel="1" thickTop="1" x14ac:dyDescent="0.2">
      <c r="A170" s="376"/>
      <c r="B170" s="444"/>
      <c r="C170" s="427"/>
      <c r="D170" s="428"/>
      <c r="E170" s="429"/>
      <c r="F170" s="426" t="s">
        <v>977</v>
      </c>
      <c r="G170" s="426"/>
      <c r="H170" s="430"/>
      <c r="I170" s="431"/>
      <c r="J170" s="399"/>
      <c r="K170" s="400"/>
      <c r="L170" s="431"/>
      <c r="M170" s="431"/>
      <c r="N170" s="431"/>
      <c r="O170" s="431"/>
      <c r="P170" s="431"/>
      <c r="Q170" s="431"/>
      <c r="R170" s="431"/>
      <c r="S170" s="431"/>
      <c r="T170" s="402"/>
      <c r="U170" s="432"/>
      <c r="V170" s="432">
        <f>SUM(V168:V169)</f>
        <v>1272852.4049999998</v>
      </c>
      <c r="W170" s="432">
        <f t="shared" ref="W170:AE170" si="27">SUM(W168:W169)</f>
        <v>1438440.273305</v>
      </c>
      <c r="X170" s="433">
        <f t="shared" si="27"/>
        <v>2314116.7479600003</v>
      </c>
      <c r="Y170" s="432">
        <f t="shared" si="27"/>
        <v>2091662.88528</v>
      </c>
      <c r="Z170" s="432">
        <f t="shared" si="27"/>
        <v>1998360.01792</v>
      </c>
      <c r="AA170" s="432">
        <f t="shared" si="27"/>
        <v>1944281.6328</v>
      </c>
      <c r="AB170" s="432">
        <f t="shared" si="27"/>
        <v>1819686.3083200001</v>
      </c>
      <c r="AC170" s="432">
        <f t="shared" si="27"/>
        <v>1781478.6481599999</v>
      </c>
      <c r="AD170" s="432">
        <f t="shared" si="27"/>
        <v>1721138.362</v>
      </c>
      <c r="AE170" s="432">
        <f t="shared" si="27"/>
        <v>24032939.871832002</v>
      </c>
      <c r="AF170" s="432">
        <f>SUM(X170:AE170)</f>
        <v>37703664.474271998</v>
      </c>
      <c r="AH170" s="236"/>
      <c r="AI170" s="405">
        <f t="shared" si="24"/>
        <v>37703664.474271998</v>
      </c>
    </row>
    <row r="171" spans="1:35" s="254" customFormat="1" ht="7.5" hidden="1" customHeight="1" outlineLevel="1" x14ac:dyDescent="0.2">
      <c r="A171" s="376"/>
      <c r="B171" s="421"/>
      <c r="C171" s="377"/>
      <c r="D171" s="378"/>
      <c r="E171" s="422"/>
      <c r="F171" s="388"/>
      <c r="G171" s="388"/>
      <c r="H171" s="423"/>
      <c r="I171" s="277"/>
      <c r="J171" s="423"/>
      <c r="K171" s="277"/>
      <c r="L171" s="277"/>
      <c r="M171" s="277"/>
      <c r="N171" s="277"/>
      <c r="O171" s="277"/>
      <c r="P171" s="277"/>
      <c r="Q171" s="277"/>
      <c r="R171" s="277"/>
      <c r="S171" s="277"/>
      <c r="T171" s="402"/>
      <c r="U171" s="385"/>
      <c r="V171" s="385"/>
      <c r="W171" s="385"/>
      <c r="X171" s="424"/>
      <c r="Y171" s="425"/>
      <c r="Z171" s="425"/>
      <c r="AA171" s="425"/>
      <c r="AB171" s="425"/>
      <c r="AC171" s="425"/>
      <c r="AD171" s="425"/>
      <c r="AE171" s="425"/>
      <c r="AF171" s="425"/>
      <c r="AH171" s="236"/>
      <c r="AI171" s="405">
        <f t="shared" si="24"/>
        <v>0</v>
      </c>
    </row>
    <row r="172" spans="1:35" s="254" customFormat="1" ht="13.95" hidden="1" customHeight="1" outlineLevel="1" x14ac:dyDescent="0.2">
      <c r="A172" s="376"/>
      <c r="B172" s="445" t="s">
        <v>978</v>
      </c>
      <c r="C172" s="446"/>
      <c r="D172" s="447"/>
      <c r="E172" s="448"/>
      <c r="F172" s="445" t="s">
        <v>975</v>
      </c>
      <c r="G172" s="445"/>
      <c r="H172" s="449"/>
      <c r="I172" s="450"/>
      <c r="J172" s="399"/>
      <c r="K172" s="400"/>
      <c r="L172" s="450"/>
      <c r="M172" s="450"/>
      <c r="N172" s="450"/>
      <c r="O172" s="450"/>
      <c r="P172" s="450"/>
      <c r="Q172" s="450"/>
      <c r="R172" s="450"/>
      <c r="S172" s="450" t="s">
        <v>660</v>
      </c>
      <c r="T172" s="402"/>
      <c r="U172" s="451">
        <f>SUM(U164,U168)</f>
        <v>1100521.7431783541</v>
      </c>
      <c r="V172" s="451">
        <f t="shared" ref="V172:AF173" si="28">SUM(V164,V168)</f>
        <v>3547054.7031783541</v>
      </c>
      <c r="W172" s="451">
        <f t="shared" si="28"/>
        <v>3124493.5999999996</v>
      </c>
      <c r="X172" s="452">
        <f t="shared" si="28"/>
        <v>3601890.1379218102</v>
      </c>
      <c r="Y172" s="451">
        <f t="shared" si="28"/>
        <v>3395159.8379218103</v>
      </c>
      <c r="Z172" s="451">
        <f t="shared" si="28"/>
        <v>3323272.1679218104</v>
      </c>
      <c r="AA172" s="451">
        <f t="shared" si="28"/>
        <v>3275414.8379218103</v>
      </c>
      <c r="AB172" s="451">
        <f t="shared" si="28"/>
        <v>3133366.8379218103</v>
      </c>
      <c r="AC172" s="451">
        <f t="shared" si="28"/>
        <v>3078251.8379218103</v>
      </c>
      <c r="AD172" s="451">
        <f t="shared" si="28"/>
        <v>3015122.8379218103</v>
      </c>
      <c r="AE172" s="451">
        <f t="shared" si="28"/>
        <v>30958230.718703706</v>
      </c>
      <c r="AF172" s="451">
        <f t="shared" si="28"/>
        <v>53780709.214156374</v>
      </c>
      <c r="AH172" s="236"/>
      <c r="AI172" s="405">
        <f t="shared" si="24"/>
        <v>53780709.214156374</v>
      </c>
    </row>
    <row r="173" spans="1:35" s="254" customFormat="1" ht="13.95" hidden="1" customHeight="1" outlineLevel="1" thickBot="1" x14ac:dyDescent="0.25">
      <c r="A173" s="376"/>
      <c r="B173" s="453"/>
      <c r="C173" s="454"/>
      <c r="D173" s="455"/>
      <c r="E173" s="456"/>
      <c r="F173" s="457" t="s">
        <v>976</v>
      </c>
      <c r="G173" s="458"/>
      <c r="H173" s="459"/>
      <c r="I173" s="460"/>
      <c r="J173" s="414"/>
      <c r="K173" s="415"/>
      <c r="L173" s="460"/>
      <c r="M173" s="460"/>
      <c r="N173" s="460"/>
      <c r="O173" s="460"/>
      <c r="P173" s="460"/>
      <c r="Q173" s="460">
        <f>SUM(Q12:Q168)</f>
        <v>35098858</v>
      </c>
      <c r="R173" s="460">
        <f>SUM(R12:R168)</f>
        <v>34423474</v>
      </c>
      <c r="S173" s="460" t="s">
        <v>662</v>
      </c>
      <c r="T173" s="416"/>
      <c r="U173" s="461">
        <f>SUM(U165,U169)</f>
        <v>269203.59306087194</v>
      </c>
      <c r="V173" s="461">
        <f t="shared" si="28"/>
        <v>533038.9914139777</v>
      </c>
      <c r="W173" s="461">
        <f t="shared" si="28"/>
        <v>593332.50107748352</v>
      </c>
      <c r="X173" s="462">
        <f t="shared" si="28"/>
        <v>1047339.1639484835</v>
      </c>
      <c r="Y173" s="461">
        <f t="shared" si="28"/>
        <v>976966.16682587552</v>
      </c>
      <c r="Z173" s="461">
        <f t="shared" si="28"/>
        <v>910523.28030026727</v>
      </c>
      <c r="AA173" s="461">
        <f t="shared" si="28"/>
        <v>845460.85778495891</v>
      </c>
      <c r="AB173" s="461">
        <f t="shared" si="28"/>
        <v>781334.27426935104</v>
      </c>
      <c r="AC173" s="461">
        <f t="shared" si="28"/>
        <v>719964.37003374263</v>
      </c>
      <c r="AD173" s="461">
        <f t="shared" si="28"/>
        <v>659690.06064813468</v>
      </c>
      <c r="AE173" s="461">
        <f t="shared" si="28"/>
        <v>9482727.6089827437</v>
      </c>
      <c r="AF173" s="461">
        <f t="shared" si="28"/>
        <v>15424005.782793557</v>
      </c>
      <c r="AH173" s="236"/>
      <c r="AI173" s="405">
        <f t="shared" si="24"/>
        <v>15424005.782793557</v>
      </c>
    </row>
    <row r="174" spans="1:35" s="254" customFormat="1" ht="13.95" hidden="1" customHeight="1" outlineLevel="1" thickTop="1" thickBot="1" x14ac:dyDescent="0.25">
      <c r="A174" s="376"/>
      <c r="B174" s="463"/>
      <c r="C174" s="446"/>
      <c r="D174" s="447"/>
      <c r="E174" s="448"/>
      <c r="F174" s="445" t="s">
        <v>977</v>
      </c>
      <c r="G174" s="445"/>
      <c r="H174" s="449"/>
      <c r="I174" s="450"/>
      <c r="J174" s="399"/>
      <c r="K174" s="400"/>
      <c r="L174" s="450"/>
      <c r="M174" s="450"/>
      <c r="N174" s="450"/>
      <c r="O174" s="450"/>
      <c r="P174" s="450"/>
      <c r="Q174" s="450"/>
      <c r="R174" s="450"/>
      <c r="S174" s="450"/>
      <c r="T174" s="402"/>
      <c r="U174" s="451">
        <f>SUM(U172:U173)</f>
        <v>1369725.3362392262</v>
      </c>
      <c r="V174" s="451">
        <f t="shared" ref="V174:AF174" si="29">SUM(V172:V173)</f>
        <v>4080093.6945923315</v>
      </c>
      <c r="W174" s="451">
        <f t="shared" si="29"/>
        <v>3717826.101077483</v>
      </c>
      <c r="X174" s="464">
        <f t="shared" si="29"/>
        <v>4649229.3018702939</v>
      </c>
      <c r="Y174" s="451">
        <f t="shared" si="29"/>
        <v>4372126.004747686</v>
      </c>
      <c r="Z174" s="451">
        <f t="shared" si="29"/>
        <v>4233795.4482220775</v>
      </c>
      <c r="AA174" s="451">
        <f t="shared" si="29"/>
        <v>4120875.6957067694</v>
      </c>
      <c r="AB174" s="451">
        <f t="shared" si="29"/>
        <v>3914701.1121911611</v>
      </c>
      <c r="AC174" s="451">
        <f t="shared" si="29"/>
        <v>3798216.2079555532</v>
      </c>
      <c r="AD174" s="451">
        <f t="shared" si="29"/>
        <v>3674812.8985699452</v>
      </c>
      <c r="AE174" s="451">
        <f t="shared" si="29"/>
        <v>40440958.327686451</v>
      </c>
      <c r="AF174" s="451">
        <f t="shared" si="29"/>
        <v>69204714.996949926</v>
      </c>
      <c r="AH174" s="236"/>
      <c r="AI174" s="405">
        <f t="shared" si="24"/>
        <v>69204714.996949926</v>
      </c>
    </row>
    <row r="175" spans="1:35" s="254" customFormat="1" ht="11.25" hidden="1" customHeight="1" outlineLevel="1" x14ac:dyDescent="0.2">
      <c r="A175" s="376"/>
      <c r="B175" s="377"/>
      <c r="C175" s="377"/>
      <c r="D175" s="378"/>
      <c r="E175" s="422"/>
      <c r="F175" s="379"/>
      <c r="G175" s="378"/>
      <c r="H175" s="399"/>
      <c r="I175" s="400"/>
      <c r="J175" s="399"/>
      <c r="K175" s="400"/>
      <c r="L175" s="378"/>
      <c r="M175" s="378"/>
      <c r="N175" s="378"/>
      <c r="O175" s="465"/>
      <c r="P175" s="466"/>
      <c r="Q175" s="384"/>
      <c r="R175" s="384"/>
      <c r="S175" s="378"/>
      <c r="T175" s="402"/>
      <c r="U175" s="385"/>
      <c r="V175" s="385"/>
      <c r="W175" s="385"/>
      <c r="X175" s="467"/>
      <c r="Y175" s="467"/>
      <c r="Z175" s="467"/>
      <c r="AA175" s="467"/>
      <c r="AB175" s="467"/>
      <c r="AC175" s="467"/>
      <c r="AD175" s="467"/>
      <c r="AE175" s="385"/>
      <c r="AF175" s="385"/>
      <c r="AG175" s="388"/>
      <c r="AH175" s="236"/>
      <c r="AI175" s="405"/>
    </row>
    <row r="176" spans="1:35" s="254" customFormat="1" ht="11.25" hidden="1" customHeight="1" outlineLevel="1" x14ac:dyDescent="0.2">
      <c r="A176" s="376"/>
      <c r="B176" s="377"/>
      <c r="C176" s="377"/>
      <c r="D176" s="378"/>
      <c r="E176" s="422"/>
      <c r="F176" s="379"/>
      <c r="G176" s="378"/>
      <c r="H176" s="399"/>
      <c r="I176" s="400"/>
      <c r="J176" s="399"/>
      <c r="K176" s="400"/>
      <c r="L176" s="378"/>
      <c r="M176" s="378"/>
      <c r="N176" s="378"/>
      <c r="O176" s="465"/>
      <c r="P176" s="466"/>
      <c r="Q176" s="384"/>
      <c r="R176" s="384"/>
      <c r="S176" s="378"/>
      <c r="T176" s="402"/>
      <c r="U176" s="385"/>
      <c r="V176" s="385"/>
      <c r="W176" s="385"/>
      <c r="X176" s="468">
        <f>X165/X164</f>
        <v>0.27482019790414591</v>
      </c>
      <c r="Y176" s="468">
        <f t="shared" ref="Y176:AE176" si="30">Y165/Y164</f>
        <v>0.2573763904203939</v>
      </c>
      <c r="Z176" s="468">
        <f t="shared" si="30"/>
        <v>0.23853139457836284</v>
      </c>
      <c r="AA176" s="468">
        <f t="shared" si="30"/>
        <v>0.22132439409548535</v>
      </c>
      <c r="AB176" s="468">
        <f t="shared" si="30"/>
        <v>0.20665643335868633</v>
      </c>
      <c r="AC176" s="468">
        <f t="shared" si="30"/>
        <v>0.19146767075678733</v>
      </c>
      <c r="AD176" s="468">
        <f t="shared" si="30"/>
        <v>0.17448992375314146</v>
      </c>
      <c r="AE176" s="468">
        <f t="shared" si="30"/>
        <v>0.26729466052636069</v>
      </c>
      <c r="AF176" s="385"/>
      <c r="AG176" s="388"/>
      <c r="AH176" s="236"/>
      <c r="AI176" s="469"/>
    </row>
    <row r="177" spans="1:34" s="254" customFormat="1" ht="14.4" collapsed="1" thickBot="1" x14ac:dyDescent="0.35">
      <c r="A177" s="186" t="s">
        <v>979</v>
      </c>
      <c r="B177" s="377"/>
      <c r="C177" s="377"/>
      <c r="D177" s="378"/>
      <c r="E177" s="422"/>
      <c r="F177" s="379"/>
      <c r="G177" s="378"/>
      <c r="H177" s="399"/>
      <c r="I177" s="400"/>
      <c r="J177" s="399"/>
      <c r="K177" s="400"/>
      <c r="L177" s="378"/>
      <c r="M177" s="378"/>
      <c r="N177" s="378"/>
      <c r="O177" s="465"/>
      <c r="P177" s="466"/>
      <c r="Q177" s="384"/>
      <c r="R177" s="384"/>
      <c r="S177" s="378"/>
      <c r="T177" s="402"/>
      <c r="U177" s="385"/>
      <c r="V177" s="385"/>
      <c r="W177" s="385"/>
      <c r="X177" s="468">
        <f>X169/X168</f>
        <v>0.30728429511047239</v>
      </c>
      <c r="Y177" s="468">
        <f t="shared" ref="Y177:AE177" si="31">Y169/Y168</f>
        <v>0.32258834396885977</v>
      </c>
      <c r="Z177" s="468">
        <f t="shared" si="31"/>
        <v>0.31612710649093362</v>
      </c>
      <c r="AA177" s="468">
        <f t="shared" si="31"/>
        <v>0.30204173483983993</v>
      </c>
      <c r="AB177" s="468">
        <f t="shared" si="31"/>
        <v>0.30242543998076094</v>
      </c>
      <c r="AC177" s="468">
        <f t="shared" si="31"/>
        <v>0.2857073302145926</v>
      </c>
      <c r="AD177" s="468">
        <f t="shared" si="31"/>
        <v>0.27331481491071608</v>
      </c>
      <c r="AE177" s="468">
        <f t="shared" si="31"/>
        <v>0.33435152157329184</v>
      </c>
      <c r="AF177" s="385"/>
      <c r="AG177" s="388"/>
      <c r="AH177" s="236"/>
    </row>
    <row r="178" spans="1:34" s="215" customFormat="1" ht="52.5" customHeight="1" thickBot="1" x14ac:dyDescent="0.3">
      <c r="A178" s="619" t="s">
        <v>980</v>
      </c>
      <c r="B178" s="620"/>
      <c r="C178" s="199" t="s">
        <v>625</v>
      </c>
      <c r="D178" s="200" t="s">
        <v>626</v>
      </c>
      <c r="E178" s="201" t="s">
        <v>627</v>
      </c>
      <c r="F178" s="200" t="s">
        <v>627</v>
      </c>
      <c r="G178" s="200" t="s">
        <v>628</v>
      </c>
      <c r="H178" s="202" t="s">
        <v>629</v>
      </c>
      <c r="I178" s="203" t="s">
        <v>630</v>
      </c>
      <c r="J178" s="202" t="s">
        <v>631</v>
      </c>
      <c r="K178" s="203" t="s">
        <v>632</v>
      </c>
      <c r="L178" s="198" t="s">
        <v>981</v>
      </c>
      <c r="M178" s="198" t="s">
        <v>634</v>
      </c>
      <c r="N178" s="198" t="s">
        <v>635</v>
      </c>
      <c r="O178" s="204" t="s">
        <v>636</v>
      </c>
      <c r="P178" s="205" t="s">
        <v>637</v>
      </c>
      <c r="Q178" s="206" t="s">
        <v>638</v>
      </c>
      <c r="R178" s="206" t="s">
        <v>639</v>
      </c>
      <c r="S178" s="208" t="s">
        <v>640</v>
      </c>
      <c r="T178" s="470"/>
      <c r="U178" s="212" t="s">
        <v>642</v>
      </c>
      <c r="V178" s="212" t="s">
        <v>643</v>
      </c>
      <c r="W178" s="212" t="s">
        <v>644</v>
      </c>
      <c r="X178" s="206" t="s">
        <v>645</v>
      </c>
      <c r="Y178" s="206" t="s">
        <v>646</v>
      </c>
      <c r="Z178" s="206" t="s">
        <v>647</v>
      </c>
      <c r="AA178" s="206" t="s">
        <v>648</v>
      </c>
      <c r="AB178" s="206" t="s">
        <v>649</v>
      </c>
      <c r="AC178" s="206" t="s">
        <v>650</v>
      </c>
      <c r="AD178" s="206" t="s">
        <v>651</v>
      </c>
      <c r="AE178" s="206" t="s">
        <v>652</v>
      </c>
      <c r="AF178" s="206" t="s">
        <v>653</v>
      </c>
      <c r="AG178" s="213"/>
      <c r="AH178" s="236"/>
    </row>
    <row r="179" spans="1:34" s="254" customFormat="1" ht="9" customHeight="1" thickBot="1" x14ac:dyDescent="0.35">
      <c r="A179" s="471"/>
      <c r="B179" s="472"/>
      <c r="C179" s="472"/>
      <c r="D179" s="473"/>
      <c r="E179" s="474"/>
      <c r="F179" s="475"/>
      <c r="G179" s="473"/>
      <c r="H179" s="476"/>
      <c r="I179" s="477"/>
      <c r="J179" s="476"/>
      <c r="K179" s="477"/>
      <c r="L179" s="473"/>
      <c r="M179" s="473"/>
      <c r="N179" s="473"/>
      <c r="O179" s="478"/>
      <c r="P179" s="479"/>
      <c r="Q179" s="480"/>
      <c r="R179" s="480"/>
      <c r="S179" s="473"/>
      <c r="T179" s="481"/>
      <c r="U179" s="482"/>
      <c r="V179" s="482"/>
      <c r="W179" s="482"/>
      <c r="X179" s="482"/>
      <c r="Y179" s="482"/>
      <c r="Z179" s="482"/>
      <c r="AA179" s="482"/>
      <c r="AB179" s="482"/>
      <c r="AC179" s="482"/>
      <c r="AD179" s="482"/>
      <c r="AE179" s="482"/>
      <c r="AF179" s="482"/>
      <c r="AG179" s="388"/>
      <c r="AH179" s="236"/>
    </row>
    <row r="180" spans="1:34" s="237" customFormat="1" x14ac:dyDescent="0.2">
      <c r="A180" s="483">
        <v>1</v>
      </c>
      <c r="B180" s="484" t="s">
        <v>982</v>
      </c>
      <c r="C180" s="485"/>
      <c r="D180" s="257"/>
      <c r="E180" s="486"/>
      <c r="F180" s="337" t="s">
        <v>983</v>
      </c>
      <c r="G180" s="258" t="s">
        <v>984</v>
      </c>
      <c r="H180" s="487">
        <v>110000</v>
      </c>
      <c r="I180" s="488">
        <v>129553</v>
      </c>
      <c r="J180" s="487"/>
      <c r="K180" s="263"/>
      <c r="L180" s="326">
        <f>0.101%+$L$7</f>
        <v>1.7590000000000001E-2</v>
      </c>
      <c r="M180" s="226">
        <v>2.5000000000000001E-3</v>
      </c>
      <c r="N180" s="261">
        <v>5</v>
      </c>
      <c r="O180" s="489"/>
      <c r="P180" s="490"/>
      <c r="Q180" s="230"/>
      <c r="R180" s="230"/>
      <c r="S180" s="264" t="s">
        <v>660</v>
      </c>
      <c r="T180" s="265"/>
      <c r="U180" s="266">
        <v>8936</v>
      </c>
      <c r="V180" s="266">
        <v>8936</v>
      </c>
      <c r="W180" s="266">
        <v>8936</v>
      </c>
      <c r="X180" s="266">
        <v>8936</v>
      </c>
      <c r="Y180" s="266">
        <v>8936</v>
      </c>
      <c r="Z180" s="266">
        <v>8936</v>
      </c>
      <c r="AA180" s="266">
        <v>8936</v>
      </c>
      <c r="AB180" s="266">
        <v>8936</v>
      </c>
      <c r="AC180" s="266">
        <v>8936</v>
      </c>
      <c r="AD180" s="266">
        <v>8936</v>
      </c>
      <c r="AE180" s="266">
        <v>29042</v>
      </c>
      <c r="AF180" s="266">
        <f>SUM(X180:AE180)</f>
        <v>91594</v>
      </c>
      <c r="AG180" s="377"/>
      <c r="AH180" s="236"/>
    </row>
    <row r="181" spans="1:34" s="254" customFormat="1" ht="11.4" customHeight="1" thickBot="1" x14ac:dyDescent="0.25">
      <c r="A181" s="491"/>
      <c r="B181" s="492"/>
      <c r="C181" s="362"/>
      <c r="D181" s="240"/>
      <c r="E181" s="241"/>
      <c r="F181" s="242"/>
      <c r="G181" s="243"/>
      <c r="H181" s="493"/>
      <c r="I181" s="494"/>
      <c r="J181" s="493"/>
      <c r="K181" s="494"/>
      <c r="L181" s="240"/>
      <c r="M181" s="240"/>
      <c r="N181" s="240"/>
      <c r="O181" s="495"/>
      <c r="P181" s="496"/>
      <c r="Q181" s="268"/>
      <c r="R181" s="268"/>
      <c r="S181" s="250" t="s">
        <v>662</v>
      </c>
      <c r="T181" s="251"/>
      <c r="U181" s="332">
        <v>385.27866</v>
      </c>
      <c r="V181" s="332">
        <v>353.91329999999999</v>
      </c>
      <c r="W181" s="332">
        <v>1659.7502999999999</v>
      </c>
      <c r="X181" s="332">
        <f>((SUM(X180:$AE180))*($L180+$M180))</f>
        <v>1840.12346</v>
      </c>
      <c r="Y181" s="332">
        <f>((SUM(Y180:$AE180))*($L180+$M180))</f>
        <v>1660.5992200000001</v>
      </c>
      <c r="Z181" s="332">
        <f>((SUM(Z180:$AE180))*($L180+$M180))</f>
        <v>1481.0749800000001</v>
      </c>
      <c r="AA181" s="332">
        <f>((SUM(AA180:$AE180))*($L180+$M180))</f>
        <v>1301.5507399999999</v>
      </c>
      <c r="AB181" s="332">
        <f>((SUM(AB180:$AE180))*($L180+$M180))</f>
        <v>1122.0264999999999</v>
      </c>
      <c r="AC181" s="332">
        <f>((SUM(AC180:$AE180))*($L180+$M180))</f>
        <v>942.50225999999998</v>
      </c>
      <c r="AD181" s="332">
        <f>((SUM(AD180:$AE180))*($L180+$M180))</f>
        <v>762.97802000000001</v>
      </c>
      <c r="AE181" s="332">
        <f>((SUM(AE180:$AE180))*($L180+$M180))*3</f>
        <v>1750.3613400000002</v>
      </c>
      <c r="AF181" s="266">
        <f>SUM(X181:AE181)</f>
        <v>10861.21652</v>
      </c>
      <c r="AG181" s="388"/>
      <c r="AH181" s="236"/>
    </row>
    <row r="182" spans="1:34" s="237" customFormat="1" x14ac:dyDescent="0.2">
      <c r="A182" s="497">
        <v>2</v>
      </c>
      <c r="B182" s="484" t="s">
        <v>985</v>
      </c>
      <c r="C182" s="485"/>
      <c r="D182" s="257"/>
      <c r="E182" s="486"/>
      <c r="F182" s="337" t="s">
        <v>986</v>
      </c>
      <c r="G182" s="258" t="s">
        <v>987</v>
      </c>
      <c r="H182" s="487">
        <v>110000</v>
      </c>
      <c r="I182" s="488">
        <v>44681</v>
      </c>
      <c r="J182" s="487">
        <v>110000</v>
      </c>
      <c r="K182" s="263"/>
      <c r="L182" s="326">
        <v>3.5599999999999998E-3</v>
      </c>
      <c r="M182" s="226">
        <v>5.0000000000000001E-3</v>
      </c>
      <c r="N182" s="227">
        <v>4</v>
      </c>
      <c r="O182" s="489"/>
      <c r="P182" s="490"/>
      <c r="Q182" s="318"/>
      <c r="R182" s="318"/>
      <c r="S182" s="264" t="s">
        <v>660</v>
      </c>
      <c r="T182" s="265"/>
      <c r="U182" s="266">
        <v>14127.05</v>
      </c>
      <c r="V182" s="266">
        <v>5510.5199999999995</v>
      </c>
      <c r="W182" s="266">
        <v>5510.5199999999995</v>
      </c>
      <c r="X182" s="266">
        <v>5510.5199999999995</v>
      </c>
      <c r="Y182" s="266">
        <v>5510.2999999999993</v>
      </c>
      <c r="Z182" s="321">
        <v>446.95</v>
      </c>
      <c r="AA182" s="498">
        <v>0</v>
      </c>
      <c r="AB182" s="498">
        <v>0</v>
      </c>
      <c r="AC182" s="498">
        <v>0</v>
      </c>
      <c r="AD182" s="498">
        <v>0</v>
      </c>
      <c r="AE182" s="498">
        <v>0</v>
      </c>
      <c r="AF182" s="266">
        <f t="shared" ref="AF182:AF189" si="32">SUM(X182:AE182)</f>
        <v>11467.77</v>
      </c>
      <c r="AG182" s="377"/>
      <c r="AH182" s="236"/>
    </row>
    <row r="183" spans="1:34" s="254" customFormat="1" ht="13.8" thickBot="1" x14ac:dyDescent="0.25">
      <c r="A183" s="491"/>
      <c r="B183" s="492" t="s">
        <v>988</v>
      </c>
      <c r="C183" s="362"/>
      <c r="D183" s="240"/>
      <c r="E183" s="241"/>
      <c r="F183" s="242"/>
      <c r="G183" s="243"/>
      <c r="H183" s="493"/>
      <c r="I183" s="494"/>
      <c r="J183" s="493"/>
      <c r="K183" s="494"/>
      <c r="L183" s="240"/>
      <c r="M183" s="240"/>
      <c r="N183" s="240"/>
      <c r="O183" s="495"/>
      <c r="P183" s="496"/>
      <c r="Q183" s="268"/>
      <c r="R183" s="268"/>
      <c r="S183" s="250" t="s">
        <v>662</v>
      </c>
      <c r="T183" s="251"/>
      <c r="U183" s="332"/>
      <c r="V183" s="332"/>
      <c r="W183" s="332"/>
      <c r="X183" s="332"/>
      <c r="Y183" s="332"/>
      <c r="Z183" s="332"/>
      <c r="AA183" s="332"/>
      <c r="AB183" s="332"/>
      <c r="AC183" s="332"/>
      <c r="AD183" s="332"/>
      <c r="AE183" s="332"/>
      <c r="AF183" s="266">
        <f t="shared" si="32"/>
        <v>0</v>
      </c>
      <c r="AG183" s="388"/>
      <c r="AH183" s="236"/>
    </row>
    <row r="184" spans="1:34" s="237" customFormat="1" x14ac:dyDescent="0.2">
      <c r="A184" s="497">
        <v>3</v>
      </c>
      <c r="B184" s="484" t="s">
        <v>989</v>
      </c>
      <c r="C184" s="485"/>
      <c r="D184" s="257"/>
      <c r="E184" s="486"/>
      <c r="F184" s="337" t="s">
        <v>990</v>
      </c>
      <c r="G184" s="258" t="s">
        <v>991</v>
      </c>
      <c r="H184" s="487">
        <v>110000</v>
      </c>
      <c r="I184" s="488">
        <v>82013</v>
      </c>
      <c r="J184" s="487">
        <v>110000</v>
      </c>
      <c r="K184" s="263"/>
      <c r="L184" s="326">
        <v>3.5599999999999998E-3</v>
      </c>
      <c r="M184" s="226">
        <v>5.0000000000000001E-3</v>
      </c>
      <c r="N184" s="227">
        <v>4</v>
      </c>
      <c r="O184" s="489"/>
      <c r="P184" s="490"/>
      <c r="Q184" s="318"/>
      <c r="R184" s="318"/>
      <c r="S184" s="264" t="s">
        <v>660</v>
      </c>
      <c r="T184" s="265"/>
      <c r="U184" s="266">
        <v>7278.62</v>
      </c>
      <c r="V184" s="266">
        <v>15204.36</v>
      </c>
      <c r="W184" s="266">
        <v>15204.36</v>
      </c>
      <c r="X184" s="266">
        <v>15204.36</v>
      </c>
      <c r="Y184" s="266">
        <v>15204.36</v>
      </c>
      <c r="Z184" s="321">
        <v>13916.95</v>
      </c>
      <c r="AA184" s="498">
        <v>0</v>
      </c>
      <c r="AB184" s="498">
        <v>0</v>
      </c>
      <c r="AC184" s="498">
        <v>0</v>
      </c>
      <c r="AD184" s="498">
        <v>0</v>
      </c>
      <c r="AE184" s="498">
        <v>0</v>
      </c>
      <c r="AF184" s="266">
        <f t="shared" si="32"/>
        <v>44325.67</v>
      </c>
      <c r="AG184" s="377"/>
      <c r="AH184" s="236"/>
    </row>
    <row r="185" spans="1:34" s="254" customFormat="1" ht="13.8" thickBot="1" x14ac:dyDescent="0.25">
      <c r="A185" s="491"/>
      <c r="B185" s="492"/>
      <c r="C185" s="362"/>
      <c r="D185" s="240"/>
      <c r="E185" s="241"/>
      <c r="F185" s="242"/>
      <c r="G185" s="243"/>
      <c r="H185" s="493"/>
      <c r="I185" s="494"/>
      <c r="J185" s="493"/>
      <c r="K185" s="494"/>
      <c r="L185" s="240"/>
      <c r="M185" s="240"/>
      <c r="N185" s="240"/>
      <c r="O185" s="495"/>
      <c r="P185" s="496"/>
      <c r="Q185" s="268"/>
      <c r="R185" s="268"/>
      <c r="S185" s="250" t="s">
        <v>662</v>
      </c>
      <c r="T185" s="251"/>
      <c r="U185" s="332"/>
      <c r="V185" s="332"/>
      <c r="W185" s="332"/>
      <c r="X185" s="332"/>
      <c r="Y185" s="332"/>
      <c r="Z185" s="332"/>
      <c r="AA185" s="332"/>
      <c r="AB185" s="332"/>
      <c r="AC185" s="332"/>
      <c r="AD185" s="332"/>
      <c r="AE185" s="332"/>
      <c r="AF185" s="266">
        <f t="shared" si="32"/>
        <v>0</v>
      </c>
      <c r="AG185" s="388"/>
      <c r="AH185" s="236"/>
    </row>
    <row r="186" spans="1:34" s="237" customFormat="1" x14ac:dyDescent="0.2">
      <c r="A186" s="497">
        <v>4</v>
      </c>
      <c r="B186" s="484" t="s">
        <v>992</v>
      </c>
      <c r="C186" s="485"/>
      <c r="D186" s="257"/>
      <c r="E186" s="486"/>
      <c r="F186" s="337" t="s">
        <v>993</v>
      </c>
      <c r="G186" s="258" t="s">
        <v>994</v>
      </c>
      <c r="H186" s="259">
        <v>110000</v>
      </c>
      <c r="I186" s="488">
        <v>40000</v>
      </c>
      <c r="J186" s="487">
        <v>110000</v>
      </c>
      <c r="K186" s="263"/>
      <c r="L186" s="326">
        <v>3.5599999999999998E-3</v>
      </c>
      <c r="M186" s="226">
        <v>5.0000000000000001E-3</v>
      </c>
      <c r="N186" s="227">
        <v>4</v>
      </c>
      <c r="O186" s="489"/>
      <c r="P186" s="490"/>
      <c r="Q186" s="318"/>
      <c r="R186" s="318"/>
      <c r="S186" s="264" t="s">
        <v>660</v>
      </c>
      <c r="T186" s="265"/>
      <c r="U186" s="266"/>
      <c r="V186" s="266">
        <v>12000</v>
      </c>
      <c r="W186" s="266">
        <v>7000</v>
      </c>
      <c r="X186" s="266">
        <v>7000</v>
      </c>
      <c r="Y186" s="266">
        <v>7000</v>
      </c>
      <c r="Z186" s="266">
        <v>7000</v>
      </c>
      <c r="AA186" s="266">
        <v>0</v>
      </c>
      <c r="AB186" s="266">
        <v>0</v>
      </c>
      <c r="AC186" s="266">
        <v>0</v>
      </c>
      <c r="AD186" s="266">
        <v>0</v>
      </c>
      <c r="AE186" s="266">
        <v>0</v>
      </c>
      <c r="AF186" s="266">
        <f t="shared" si="32"/>
        <v>21000</v>
      </c>
      <c r="AG186" s="499"/>
      <c r="AH186" s="236"/>
    </row>
    <row r="187" spans="1:34" s="254" customFormat="1" ht="13.8" thickBot="1" x14ac:dyDescent="0.25">
      <c r="A187" s="491"/>
      <c r="B187" s="492"/>
      <c r="C187" s="362"/>
      <c r="D187" s="240"/>
      <c r="E187" s="241"/>
      <c r="F187" s="242"/>
      <c r="G187" s="243"/>
      <c r="H187" s="493"/>
      <c r="I187" s="494"/>
      <c r="J187" s="493"/>
      <c r="K187" s="494"/>
      <c r="L187" s="240"/>
      <c r="M187" s="240"/>
      <c r="N187" s="240"/>
      <c r="O187" s="495"/>
      <c r="P187" s="496"/>
      <c r="Q187" s="268"/>
      <c r="R187" s="268"/>
      <c r="S187" s="250" t="s">
        <v>662</v>
      </c>
      <c r="T187" s="251"/>
      <c r="U187" s="332"/>
      <c r="V187" s="332"/>
      <c r="W187" s="332"/>
      <c r="X187" s="332"/>
      <c r="Y187" s="332"/>
      <c r="Z187" s="332"/>
      <c r="AA187" s="332"/>
      <c r="AB187" s="332"/>
      <c r="AC187" s="332"/>
      <c r="AD187" s="332"/>
      <c r="AE187" s="332"/>
      <c r="AF187" s="266">
        <f t="shared" si="32"/>
        <v>0</v>
      </c>
      <c r="AG187" s="388"/>
      <c r="AH187" s="236"/>
    </row>
    <row r="188" spans="1:34" s="237" customFormat="1" outlineLevel="1" x14ac:dyDescent="0.2">
      <c r="A188" s="497">
        <v>5</v>
      </c>
      <c r="B188" s="484" t="s">
        <v>982</v>
      </c>
      <c r="C188" s="485"/>
      <c r="D188" s="257"/>
      <c r="E188" s="337"/>
      <c r="F188" s="337" t="s">
        <v>995</v>
      </c>
      <c r="G188" s="258" t="s">
        <v>996</v>
      </c>
      <c r="H188" s="259"/>
      <c r="I188" s="488">
        <v>2300000</v>
      </c>
      <c r="J188" s="259">
        <v>110000</v>
      </c>
      <c r="K188" s="263"/>
      <c r="L188" s="326">
        <f>0.101%+$L$7</f>
        <v>1.7590000000000001E-2</v>
      </c>
      <c r="M188" s="226">
        <v>2.5000000000000001E-3</v>
      </c>
      <c r="N188" s="227">
        <v>4</v>
      </c>
      <c r="O188" s="500"/>
      <c r="P188" s="501"/>
      <c r="Q188" s="318"/>
      <c r="R188" s="318"/>
      <c r="S188" s="264" t="s">
        <v>660</v>
      </c>
      <c r="T188" s="266"/>
      <c r="U188" s="266"/>
      <c r="V188" s="266">
        <v>0</v>
      </c>
      <c r="W188" s="266">
        <v>0</v>
      </c>
      <c r="X188" s="266">
        <v>0</v>
      </c>
      <c r="Y188" s="266">
        <v>64485.98130841121</v>
      </c>
      <c r="Z188" s="266">
        <v>85981.308411214952</v>
      </c>
      <c r="AA188" s="266">
        <v>85981.308411214952</v>
      </c>
      <c r="AB188" s="266">
        <v>85981.308411214952</v>
      </c>
      <c r="AC188" s="266">
        <v>85981.308411214952</v>
      </c>
      <c r="AD188" s="266">
        <v>85981.308411214952</v>
      </c>
      <c r="AE188" s="266">
        <v>1805607.4766355138</v>
      </c>
      <c r="AF188" s="266">
        <f t="shared" si="32"/>
        <v>2300000</v>
      </c>
      <c r="AG188" s="377"/>
      <c r="AH188" s="236"/>
    </row>
    <row r="189" spans="1:34" s="254" customFormat="1" ht="13.8" outlineLevel="1" thickBot="1" x14ac:dyDescent="0.25">
      <c r="A189" s="491"/>
      <c r="B189" s="492"/>
      <c r="C189" s="362"/>
      <c r="D189" s="240"/>
      <c r="E189" s="242"/>
      <c r="F189" s="242"/>
      <c r="G189" s="243"/>
      <c r="H189" s="502"/>
      <c r="I189" s="494"/>
      <c r="J189" s="502"/>
      <c r="K189" s="494"/>
      <c r="L189" s="240"/>
      <c r="M189" s="240"/>
      <c r="N189" s="240"/>
      <c r="O189" s="503"/>
      <c r="P189" s="494"/>
      <c r="Q189" s="268"/>
      <c r="R189" s="268"/>
      <c r="S189" s="250" t="s">
        <v>662</v>
      </c>
      <c r="T189" s="332"/>
      <c r="U189" s="332"/>
      <c r="V189" s="332"/>
      <c r="W189" s="332">
        <v>37973</v>
      </c>
      <c r="X189" s="332">
        <f>((SUM(X188:$AE188))*($L188+$M188))</f>
        <v>46207</v>
      </c>
      <c r="Y189" s="332">
        <f>((SUM(Y188:$AE188))*($L188+$M188))</f>
        <v>46207</v>
      </c>
      <c r="Z189" s="332">
        <f>((SUM(Z188:$AE188))*($L188+$M188))</f>
        <v>44911.476635514016</v>
      </c>
      <c r="AA189" s="332">
        <f>((SUM(AA188:$AE188))*($L188+$M188))</f>
        <v>43184.11214953271</v>
      </c>
      <c r="AB189" s="332">
        <f>((SUM(AB188:$AE188))*($L188+$M188))</f>
        <v>41456.747663551396</v>
      </c>
      <c r="AC189" s="332">
        <f>((SUM(AC188:$AE188))*($L188+$M188))</f>
        <v>39729.383177570089</v>
      </c>
      <c r="AD189" s="332">
        <f>((SUM(AD188:$AE188))*($L188+$M188))</f>
        <v>38002.018691588783</v>
      </c>
      <c r="AE189" s="332">
        <f>((SUM(AE188:$AE188))*($L188+$M188))*21</f>
        <v>761767.73831775703</v>
      </c>
      <c r="AF189" s="266">
        <f t="shared" si="32"/>
        <v>1061465.4766355141</v>
      </c>
      <c r="AG189" s="504"/>
      <c r="AH189" s="236"/>
    </row>
    <row r="190" spans="1:34" s="254" customFormat="1" outlineLevel="1" x14ac:dyDescent="0.2">
      <c r="A190" s="376"/>
      <c r="B190" s="388"/>
      <c r="C190" s="388"/>
      <c r="D190" s="505"/>
      <c r="E190" s="506"/>
      <c r="F190" s="506"/>
      <c r="G190" s="505"/>
      <c r="H190" s="507"/>
      <c r="I190" s="381"/>
      <c r="J190" s="507"/>
      <c r="K190" s="381"/>
      <c r="L190" s="505"/>
      <c r="M190" s="505"/>
      <c r="N190" s="505"/>
      <c r="O190" s="508"/>
      <c r="P190" s="381"/>
      <c r="Q190" s="384"/>
      <c r="R190" s="384"/>
      <c r="S190" s="506" t="s">
        <v>997</v>
      </c>
      <c r="T190" s="385"/>
      <c r="U190" s="385"/>
      <c r="V190" s="385">
        <f>SUM(V180:V189)</f>
        <v>42004.793300000005</v>
      </c>
      <c r="W190" s="385">
        <f>SUM(W180:W189)</f>
        <v>76283.630300000004</v>
      </c>
      <c r="X190" s="509">
        <f>SUM(X180:X189)</f>
        <v>84698.003460000007</v>
      </c>
      <c r="Y190" s="509">
        <f t="shared" ref="Y190:AF190" si="33">SUM(Y180:Y189)</f>
        <v>149004.2405284112</v>
      </c>
      <c r="Z190" s="509">
        <f t="shared" si="33"/>
        <v>162673.76002672897</v>
      </c>
      <c r="AA190" s="509">
        <f t="shared" si="33"/>
        <v>139402.97130074765</v>
      </c>
      <c r="AB190" s="509">
        <f t="shared" si="33"/>
        <v>137496.08257476633</v>
      </c>
      <c r="AC190" s="509">
        <f t="shared" si="33"/>
        <v>135589.19384878504</v>
      </c>
      <c r="AD190" s="509">
        <f t="shared" si="33"/>
        <v>133682.30512280372</v>
      </c>
      <c r="AE190" s="509">
        <f t="shared" si="33"/>
        <v>2598167.576293271</v>
      </c>
      <c r="AF190" s="509">
        <f t="shared" si="33"/>
        <v>3540714.1331555145</v>
      </c>
      <c r="AG190" s="388"/>
      <c r="AH190" s="377"/>
    </row>
    <row r="191" spans="1:34" s="237" customFormat="1" ht="13.8" thickBot="1" x14ac:dyDescent="0.25">
      <c r="A191" s="376"/>
      <c r="B191" s="377"/>
      <c r="C191" s="377"/>
      <c r="D191" s="377"/>
      <c r="E191" s="422"/>
      <c r="F191" s="379"/>
      <c r="G191" s="377"/>
      <c r="H191" s="510"/>
      <c r="I191" s="511"/>
      <c r="J191" s="510"/>
      <c r="K191" s="511"/>
      <c r="L191" s="377"/>
      <c r="M191" s="377"/>
      <c r="N191" s="377"/>
      <c r="O191" s="512"/>
      <c r="P191" s="513"/>
      <c r="Q191" s="236"/>
      <c r="R191" s="236"/>
      <c r="S191" s="377"/>
      <c r="T191" s="514"/>
      <c r="U191" s="388"/>
      <c r="V191" s="388"/>
      <c r="W191" s="388"/>
      <c r="X191" s="388"/>
      <c r="Y191" s="388"/>
      <c r="Z191" s="388"/>
      <c r="AA191" s="388"/>
      <c r="AB191" s="388"/>
      <c r="AC191" s="388"/>
      <c r="AD191" s="515"/>
      <c r="AE191" s="515"/>
      <c r="AF191" s="515"/>
      <c r="AG191" s="377"/>
      <c r="AH191" s="377"/>
    </row>
    <row r="192" spans="1:34" s="237" customFormat="1" ht="13.8" thickBot="1" x14ac:dyDescent="0.25">
      <c r="A192" s="516"/>
      <c r="B192" s="517" t="s">
        <v>998</v>
      </c>
      <c r="C192" s="517"/>
      <c r="D192" s="518"/>
      <c r="E192" s="519"/>
      <c r="F192" s="520"/>
      <c r="G192" s="521" t="s">
        <v>999</v>
      </c>
      <c r="H192" s="522"/>
      <c r="I192" s="523"/>
      <c r="J192" s="522"/>
      <c r="K192" s="523"/>
      <c r="L192" s="518"/>
      <c r="M192" s="518"/>
      <c r="N192" s="518"/>
      <c r="O192" s="524"/>
      <c r="P192" s="525"/>
      <c r="Q192" s="526"/>
      <c r="R192" s="526"/>
      <c r="S192" s="527"/>
      <c r="T192" s="528"/>
      <c r="U192" s="529">
        <v>1229923.9651100899</v>
      </c>
      <c r="V192" s="529">
        <f t="shared" ref="V192:W192" si="34">SUM(V162,V190)</f>
        <v>4122098.4878923316</v>
      </c>
      <c r="W192" s="529">
        <f t="shared" si="34"/>
        <v>3794109.7313774847</v>
      </c>
      <c r="X192" s="529">
        <f>SUM(X162,X190)</f>
        <v>4733927.3053302942</v>
      </c>
      <c r="Y192" s="529">
        <f t="shared" ref="Y192:AF192" si="35">SUM(Y162,Y190)</f>
        <v>4896656.8112760978</v>
      </c>
      <c r="Z192" s="529">
        <f t="shared" si="35"/>
        <v>4766156.8391908063</v>
      </c>
      <c r="AA192" s="529">
        <f t="shared" si="35"/>
        <v>4624127.3628915157</v>
      </c>
      <c r="AB192" s="529">
        <f t="shared" si="35"/>
        <v>4410206.9555919264</v>
      </c>
      <c r="AC192" s="529">
        <f t="shared" si="35"/>
        <v>4285976.2275723387</v>
      </c>
      <c r="AD192" s="529">
        <f t="shared" si="35"/>
        <v>4102569.2944027483</v>
      </c>
      <c r="AE192" s="529">
        <f t="shared" si="35"/>
        <v>44968872.972931713</v>
      </c>
      <c r="AF192" s="529">
        <f t="shared" si="35"/>
        <v>76788493.76918745</v>
      </c>
      <c r="AG192" s="377"/>
      <c r="AH192" s="377"/>
    </row>
    <row r="193" spans="1:34" s="185" customFormat="1" ht="23.4" x14ac:dyDescent="0.25">
      <c r="A193" s="164"/>
      <c r="B193" s="530" t="s">
        <v>1000</v>
      </c>
      <c r="T193" s="531"/>
      <c r="U193" s="532">
        <v>9.6378458592987326E-2</v>
      </c>
      <c r="V193" s="532">
        <f t="shared" ref="V193:W193" si="36">V192/$I$188</f>
        <v>1.7922167338662311</v>
      </c>
      <c r="W193" s="533">
        <f t="shared" si="36"/>
        <v>1.649612926685863</v>
      </c>
      <c r="X193" s="533">
        <f>X192/$I$199</f>
        <v>0.14686784329234406</v>
      </c>
      <c r="Y193" s="533">
        <f t="shared" ref="Y193:AC193" si="37">Y192/$I$199</f>
        <v>0.15191644882360736</v>
      </c>
      <c r="Z193" s="533">
        <f t="shared" si="37"/>
        <v>0.14786774925268301</v>
      </c>
      <c r="AA193" s="533">
        <f t="shared" si="37"/>
        <v>0.14346135229670726</v>
      </c>
      <c r="AB193" s="533">
        <f t="shared" si="37"/>
        <v>0.13682457339625084</v>
      </c>
      <c r="AC193" s="533">
        <f t="shared" si="37"/>
        <v>0.13297037414094531</v>
      </c>
      <c r="AD193" s="533">
        <f>AD192/$I$199</f>
        <v>0.12728026126381031</v>
      </c>
      <c r="AE193" s="532"/>
      <c r="AF193" s="534"/>
    </row>
    <row r="194" spans="1:34" x14ac:dyDescent="0.25">
      <c r="H194" s="535"/>
      <c r="I194" s="536"/>
      <c r="J194" s="535"/>
      <c r="K194" s="536"/>
      <c r="O194" s="537"/>
      <c r="P194" s="538"/>
      <c r="X194" s="392"/>
    </row>
    <row r="195" spans="1:34" s="237" customFormat="1" ht="13.5" hidden="1" customHeight="1" outlineLevel="1" x14ac:dyDescent="0.2">
      <c r="A195" s="376"/>
      <c r="B195" s="388" t="s">
        <v>1001</v>
      </c>
      <c r="C195" s="388"/>
      <c r="D195" s="505"/>
      <c r="E195" s="539"/>
      <c r="F195" s="506"/>
      <c r="G195" s="505" t="s">
        <v>999</v>
      </c>
      <c r="H195" s="540"/>
      <c r="I195" s="381"/>
      <c r="J195" s="540"/>
      <c r="K195" s="381"/>
      <c r="L195" s="505"/>
      <c r="M195" s="505"/>
      <c r="N195" s="505"/>
      <c r="O195" s="541"/>
      <c r="P195" s="542"/>
      <c r="Q195" s="384"/>
      <c r="R195" s="384"/>
      <c r="S195" s="505"/>
      <c r="T195" s="543"/>
      <c r="U195" s="384">
        <v>1322355.8348899104</v>
      </c>
      <c r="V195" s="384" t="e">
        <f>V196-V192</f>
        <v>#REF!</v>
      </c>
      <c r="W195" s="384" t="e">
        <f>W196-W192</f>
        <v>#REF!</v>
      </c>
      <c r="X195" s="384"/>
      <c r="Y195" s="384"/>
      <c r="Z195" s="384"/>
      <c r="AA195" s="384"/>
      <c r="AB195" s="384"/>
      <c r="AC195" s="384"/>
      <c r="AD195" s="384"/>
      <c r="AE195" s="384"/>
      <c r="AF195" s="384"/>
      <c r="AG195" s="377"/>
      <c r="AH195" s="377"/>
    </row>
    <row r="196" spans="1:34" s="237" customFormat="1" ht="13.5" hidden="1" customHeight="1" outlineLevel="1" x14ac:dyDescent="0.2">
      <c r="A196" s="376"/>
      <c r="B196" s="388" t="s">
        <v>1002</v>
      </c>
      <c r="C196" s="388"/>
      <c r="D196" s="505"/>
      <c r="E196" s="539"/>
      <c r="F196" s="506"/>
      <c r="G196" s="505" t="s">
        <v>999</v>
      </c>
      <c r="H196" s="540"/>
      <c r="I196" s="381"/>
      <c r="J196" s="540"/>
      <c r="K196" s="381"/>
      <c r="L196" s="505"/>
      <c r="M196" s="505"/>
      <c r="N196" s="505"/>
      <c r="O196" s="541"/>
      <c r="P196" s="542"/>
      <c r="Q196" s="384"/>
      <c r="R196" s="384"/>
      <c r="S196" s="505"/>
      <c r="T196" s="543"/>
      <c r="U196" s="384">
        <v>2552279.8000000003</v>
      </c>
      <c r="V196" s="384" t="e">
        <f>#REF!*0.2</f>
        <v>#REF!</v>
      </c>
      <c r="W196" s="384" t="e">
        <f>#REF!*0.2</f>
        <v>#REF!</v>
      </c>
      <c r="X196" s="384"/>
      <c r="Y196" s="384"/>
      <c r="Z196" s="384"/>
      <c r="AA196" s="384"/>
      <c r="AB196" s="384"/>
      <c r="AC196" s="384"/>
      <c r="AD196" s="384"/>
      <c r="AE196" s="384"/>
      <c r="AF196" s="384"/>
      <c r="AG196" s="377"/>
      <c r="AH196" s="377"/>
    </row>
    <row r="197" spans="1:34" s="185" customFormat="1" ht="23.4" hidden="1" outlineLevel="1" x14ac:dyDescent="0.25">
      <c r="A197" s="164"/>
      <c r="B197" s="544" t="s">
        <v>1000</v>
      </c>
      <c r="E197" s="545"/>
      <c r="F197" s="421"/>
      <c r="H197" s="546"/>
      <c r="I197" s="547"/>
      <c r="J197" s="546"/>
      <c r="K197" s="547"/>
      <c r="O197" s="548"/>
      <c r="P197" s="549"/>
      <c r="Q197" s="550"/>
      <c r="R197" s="550"/>
      <c r="T197" s="551"/>
      <c r="U197" s="550">
        <v>0.2</v>
      </c>
      <c r="V197" s="550" t="e">
        <f>(V192+V195)/#REF!</f>
        <v>#REF!</v>
      </c>
      <c r="W197" s="550" t="e">
        <f>(W192+W195)/#REF!</f>
        <v>#REF!</v>
      </c>
      <c r="X197" s="550"/>
      <c r="Y197" s="550"/>
      <c r="Z197" s="550"/>
      <c r="AA197" s="550"/>
      <c r="AB197" s="550"/>
      <c r="AC197" s="550"/>
      <c r="AD197" s="550"/>
      <c r="AE197" s="550"/>
      <c r="AF197" s="550"/>
      <c r="AG197" s="552"/>
      <c r="AH197" s="177"/>
    </row>
    <row r="198" spans="1:34" collapsed="1" x14ac:dyDescent="0.25">
      <c r="E198" s="167"/>
      <c r="F198" s="165"/>
      <c r="G198" s="166" t="s">
        <v>1003</v>
      </c>
      <c r="H198" s="170"/>
      <c r="I198" s="553"/>
      <c r="J198" s="170"/>
      <c r="K198" s="165"/>
      <c r="L198" s="554"/>
      <c r="O198" s="537"/>
      <c r="P198" s="173"/>
      <c r="T198" s="174"/>
      <c r="U198" s="165"/>
      <c r="V198" s="165"/>
      <c r="W198" s="555"/>
      <c r="X198" s="556"/>
      <c r="Y198" s="556"/>
      <c r="Z198" s="556"/>
      <c r="AA198" s="556"/>
      <c r="AB198" s="165"/>
      <c r="AC198" s="165"/>
      <c r="AD198" s="165"/>
      <c r="AE198" s="165"/>
      <c r="AF198" s="165"/>
    </row>
    <row r="199" spans="1:34" x14ac:dyDescent="0.25">
      <c r="G199" s="166" t="s">
        <v>1004</v>
      </c>
      <c r="H199" s="166"/>
      <c r="I199" s="557">
        <f>'[4]2023.gada budzeta plans_apvieno'!L108-'[4]2023.gada budzeta plans_apvieno'!L44-'[4]2023.gada budzeta plans_apvieno'!L139</f>
        <v>32232565</v>
      </c>
      <c r="J199" s="166"/>
      <c r="K199" s="166"/>
      <c r="L199" s="166"/>
      <c r="M199" s="166"/>
      <c r="N199" s="166"/>
      <c r="O199" s="166"/>
      <c r="P199" s="166"/>
      <c r="Q199" s="166"/>
      <c r="R199" s="166"/>
      <c r="S199" s="166"/>
      <c r="T199" s="166"/>
      <c r="U199" s="166"/>
      <c r="V199" s="166"/>
      <c r="W199" s="165"/>
      <c r="X199" s="165"/>
      <c r="Y199" s="165"/>
      <c r="Z199" s="165"/>
      <c r="AA199" s="165"/>
      <c r="AB199" s="165"/>
      <c r="AC199" s="165"/>
      <c r="AD199" s="165"/>
      <c r="AE199" s="165"/>
      <c r="AF199" s="165"/>
    </row>
    <row r="200" spans="1:34" x14ac:dyDescent="0.25">
      <c r="G200" s="166"/>
      <c r="H200" s="166"/>
      <c r="I200" s="558"/>
      <c r="J200" s="558"/>
      <c r="K200" s="558"/>
      <c r="L200" s="558"/>
      <c r="M200" s="558"/>
      <c r="N200" s="558"/>
      <c r="O200" s="558"/>
      <c r="P200" s="558"/>
      <c r="Q200" s="558"/>
      <c r="R200" s="558"/>
      <c r="S200" s="558"/>
      <c r="T200" s="558"/>
      <c r="U200" s="558"/>
      <c r="V200" s="558"/>
      <c r="W200" s="177"/>
      <c r="X200" s="559"/>
      <c r="Y200" s="559"/>
      <c r="Z200" s="559"/>
      <c r="AA200" s="559"/>
      <c r="AB200" s="559"/>
      <c r="AC200" s="559"/>
      <c r="AD200" s="559"/>
      <c r="AE200" s="559"/>
      <c r="AF200" s="559"/>
    </row>
    <row r="201" spans="1:34" ht="27.75" customHeight="1" thickBot="1" x14ac:dyDescent="0.3">
      <c r="H201" s="560"/>
      <c r="I201" s="561"/>
      <c r="J201" s="562"/>
      <c r="K201" s="563"/>
      <c r="L201" s="561"/>
      <c r="M201" s="561"/>
      <c r="N201" s="561"/>
      <c r="O201" s="564"/>
      <c r="P201" s="565"/>
      <c r="Q201" s="561"/>
      <c r="R201" s="561"/>
      <c r="S201" s="566"/>
      <c r="T201" s="567"/>
      <c r="U201" s="177"/>
      <c r="V201" s="177"/>
      <c r="W201" s="177"/>
      <c r="X201" s="568" t="s">
        <v>1005</v>
      </c>
      <c r="Y201" s="569" t="s">
        <v>1006</v>
      </c>
      <c r="Z201" s="569" t="s">
        <v>1007</v>
      </c>
      <c r="AA201" s="569" t="s">
        <v>1008</v>
      </c>
      <c r="AB201" s="569" t="s">
        <v>1009</v>
      </c>
      <c r="AC201" s="569" t="s">
        <v>1010</v>
      </c>
      <c r="AD201" s="569" t="s">
        <v>1011</v>
      </c>
      <c r="AE201" s="569" t="s">
        <v>652</v>
      </c>
      <c r="AF201" s="568" t="s">
        <v>653</v>
      </c>
    </row>
    <row r="202" spans="1:34" x14ac:dyDescent="0.25">
      <c r="H202" s="535"/>
      <c r="I202" s="570"/>
      <c r="J202" s="571"/>
      <c r="K202" s="570"/>
      <c r="O202" s="537"/>
      <c r="P202" s="538"/>
      <c r="Q202" s="572"/>
      <c r="R202" s="572"/>
      <c r="S202" s="421" t="s">
        <v>1012</v>
      </c>
      <c r="T202" s="558" t="s">
        <v>660</v>
      </c>
      <c r="U202" s="573">
        <v>1077375.7431783541</v>
      </c>
      <c r="V202" s="573">
        <f>V10+V12+V14+V16+V24+V18+V20+V22+V26+V28+V30+V32+V34+V36+V38+V40+V42+V44+V46+V48+V52+V54+V56+V58+V60+V64+V70+V72+V74+V76+V78+V80+V82+V84+V86+V88+V90+V92+V94+V96+V98+V100+V102+V104+V106+V108+V110+V112+V114+V116+V118+V120+V122+V124+V126+V128</f>
        <v>3547054.7031783541</v>
      </c>
      <c r="W202" s="573">
        <f>W10+W12+W14+W16+W24+W18+W20+W22+W26+W28+W30+W32+W34+W36+W38+W40+W42+W44+W46+W48+W52+W54+W56+W58+W60+W62+W64+W66+W68+W70+W72+W74+W76+W78+W80+W82+W84+W86+W88+W90+W92+W94+W96+W98+W100+W102+W104+W106+W108+W110+W112+W114+W116+W118+W120+W122+W124+W126+W128+W130+W132+W134</f>
        <v>3124493.5999999996</v>
      </c>
      <c r="X202" s="574">
        <f ca="1">SUMIF($S$10:$W$161,$T$202,X$10:X$161)</f>
        <v>3601890.1379218102</v>
      </c>
      <c r="Y202" s="574">
        <f t="shared" ref="Y202:AF202" ca="1" si="38">SUMIF($S$10:$W$161,$T$202,Y$10:Y$161)</f>
        <v>3701183.6879218104</v>
      </c>
      <c r="Z202" s="574">
        <f t="shared" ca="1" si="38"/>
        <v>3629296.0179218105</v>
      </c>
      <c r="AA202" s="574">
        <f t="shared" ca="1" si="38"/>
        <v>3581438.6879218104</v>
      </c>
      <c r="AB202" s="574">
        <f t="shared" ca="1" si="38"/>
        <v>3439390.6879218104</v>
      </c>
      <c r="AC202" s="574">
        <f t="shared" ca="1" si="38"/>
        <v>3384275.6879218104</v>
      </c>
      <c r="AD202" s="574">
        <f t="shared" ca="1" si="38"/>
        <v>3268888.8879218106</v>
      </c>
      <c r="AE202" s="574">
        <f t="shared" ca="1" si="38"/>
        <v>32817045.418703709</v>
      </c>
      <c r="AF202" s="574">
        <f t="shared" ca="1" si="38"/>
        <v>57423409.214156374</v>
      </c>
    </row>
    <row r="203" spans="1:34" x14ac:dyDescent="0.25">
      <c r="B203" s="575"/>
      <c r="C203" s="576"/>
      <c r="E203" s="167"/>
      <c r="F203" s="165"/>
      <c r="H203" s="535"/>
      <c r="I203" s="570"/>
      <c r="J203" s="571"/>
      <c r="K203" s="570"/>
      <c r="O203" s="537"/>
      <c r="P203" s="538"/>
      <c r="Q203" s="572"/>
      <c r="R203" s="572"/>
      <c r="S203" s="421" t="s">
        <v>1013</v>
      </c>
      <c r="T203" s="558" t="s">
        <v>662</v>
      </c>
      <c r="U203" s="573">
        <v>94356.197211735242</v>
      </c>
      <c r="V203" s="573">
        <f>V11+V13+V15+V17+V25+V19+V21+V23+V27+V29+V31+V33+V35+V37+V39+V41+V43+V45+V47+V49+V53+V55+V57+V59+V61+V65+V71+V73+V75+V77+V79+V81+V83+V85+V87+V89+V91+V93+V95+V97+V99+V101+V103+V105+V107+V109+V111+V113+V115+V117+V119+V121+V123+V125+V127+V129</f>
        <v>533038.9914139777</v>
      </c>
      <c r="W203" s="573">
        <f>W11+W13+W15+W17+W25+W19+W21+W23+W27+W29+W31+W33+W35+W37+W39+W41+W43+W45+W47+W49+W53+W55+W57+W59+W61+W63+W65+W67+W69+W71+W73+W75+W77+W79+W81+W83+W85+W87+W89+W91+W93+W95+W97+W99+W101+W103+W105+W107+W109+W111+W113+W115+W117+W119+W121+W123+W125+W127+W129+W131+W133+W135</f>
        <v>593332.50107748352</v>
      </c>
      <c r="X203" s="574">
        <f>SUMIF($S$10:$S$161,$T$203,X$10:X$161)</f>
        <v>1047339.1639484833</v>
      </c>
      <c r="Y203" s="574">
        <f t="shared" ref="Y203:AF203" si="39">SUMIF($S$10:$S$161,$T$203,Y$10:Y$161)</f>
        <v>1046468.8828258752</v>
      </c>
      <c r="Z203" s="574">
        <f t="shared" si="39"/>
        <v>974187.06124226726</v>
      </c>
      <c r="AA203" s="574">
        <f t="shared" si="39"/>
        <v>903285.70366895886</v>
      </c>
      <c r="AB203" s="574">
        <f t="shared" si="39"/>
        <v>833320.18509535072</v>
      </c>
      <c r="AC203" s="574">
        <f t="shared" si="39"/>
        <v>766111.3458017424</v>
      </c>
      <c r="AD203" s="574">
        <f t="shared" si="39"/>
        <v>699998.10135813465</v>
      </c>
      <c r="AE203" s="574">
        <f t="shared" si="39"/>
        <v>9553659.9779347386</v>
      </c>
      <c r="AF203" s="574">
        <f t="shared" si="39"/>
        <v>15824370.421875551</v>
      </c>
    </row>
    <row r="204" spans="1:34" ht="13.5" customHeight="1" thickBot="1" x14ac:dyDescent="0.3">
      <c r="H204" s="535"/>
      <c r="I204" s="577"/>
      <c r="J204" s="578"/>
      <c r="K204" s="577"/>
      <c r="L204" s="579"/>
      <c r="M204" s="579"/>
      <c r="N204" s="579"/>
      <c r="O204" s="580"/>
      <c r="P204" s="581"/>
      <c r="Q204" s="582"/>
      <c r="R204" s="582"/>
      <c r="S204" s="582" t="s">
        <v>1014</v>
      </c>
      <c r="T204" s="573"/>
      <c r="U204" s="573">
        <v>30726.948659999998</v>
      </c>
      <c r="V204" s="573">
        <f>V13+V15+V17+V19+V27+V21+V23+V25+V29+V31+V33+V35+V37+V39+V41+V43+V45+V47+V49+V53+V55+V57+V59+V61+V65+V71+V73+V75+V77+V79+V81+V83+V85+V87+V89+V91+V93+V95+V97+V99+V101+V103+V105+V107+V109+V111+V113+V115+V117+V119+V121+V123+V125+V127+V163</f>
        <v>501122.22546546825</v>
      </c>
      <c r="W204" s="573">
        <f>W190</f>
        <v>76283.630300000004</v>
      </c>
      <c r="X204" s="583">
        <f>X190</f>
        <v>84698.003460000007</v>
      </c>
      <c r="Y204" s="583">
        <f t="shared" ref="Y204:AF204" si="40">Y190</f>
        <v>149004.2405284112</v>
      </c>
      <c r="Z204" s="583">
        <f t="shared" si="40"/>
        <v>162673.76002672897</v>
      </c>
      <c r="AA204" s="583">
        <f t="shared" si="40"/>
        <v>139402.97130074765</v>
      </c>
      <c r="AB204" s="583">
        <f t="shared" si="40"/>
        <v>137496.08257476633</v>
      </c>
      <c r="AC204" s="583">
        <f t="shared" si="40"/>
        <v>135589.19384878504</v>
      </c>
      <c r="AD204" s="583">
        <f t="shared" si="40"/>
        <v>133682.30512280372</v>
      </c>
      <c r="AE204" s="583">
        <f t="shared" si="40"/>
        <v>2598167.576293271</v>
      </c>
      <c r="AF204" s="583">
        <f t="shared" si="40"/>
        <v>3540714.1331555145</v>
      </c>
    </row>
    <row r="205" spans="1:34" x14ac:dyDescent="0.25">
      <c r="B205" s="584"/>
      <c r="D205" s="536"/>
      <c r="H205" s="170"/>
      <c r="I205" s="177"/>
      <c r="J205" s="571"/>
      <c r="K205" s="177"/>
      <c r="O205" s="537"/>
      <c r="P205" s="538"/>
      <c r="Q205" s="392"/>
      <c r="R205" s="392"/>
      <c r="S205" s="421" t="s">
        <v>977</v>
      </c>
      <c r="T205" s="585"/>
      <c r="U205" s="573">
        <v>1202458.8890500893</v>
      </c>
      <c r="V205" s="573">
        <f t="shared" ref="V205:AE205" si="41">SUM(V202:V204)</f>
        <v>4581215.9200577997</v>
      </c>
      <c r="W205" s="573">
        <f t="shared" si="41"/>
        <v>3794109.7313774829</v>
      </c>
      <c r="X205" s="574">
        <f t="shared" ca="1" si="41"/>
        <v>4733927.3053302942</v>
      </c>
      <c r="Y205" s="573">
        <f t="shared" ca="1" si="41"/>
        <v>4896656.8112760969</v>
      </c>
      <c r="Z205" s="573">
        <f t="shared" ca="1" si="41"/>
        <v>4766156.8391908063</v>
      </c>
      <c r="AA205" s="573">
        <f t="shared" ca="1" si="41"/>
        <v>4624127.3628915166</v>
      </c>
      <c r="AB205" s="573">
        <f t="shared" ca="1" si="41"/>
        <v>4410206.9555919273</v>
      </c>
      <c r="AC205" s="573">
        <f t="shared" ca="1" si="41"/>
        <v>4285976.2275723377</v>
      </c>
      <c r="AD205" s="573">
        <f t="shared" ca="1" si="41"/>
        <v>4102569.2944027493</v>
      </c>
      <c r="AE205" s="573">
        <f t="shared" ca="1" si="41"/>
        <v>44968872.972931713</v>
      </c>
      <c r="AF205" s="574">
        <f ca="1">SUM(AF202:AF204)</f>
        <v>76788493.769187436</v>
      </c>
    </row>
    <row r="206" spans="1:34" x14ac:dyDescent="0.25">
      <c r="B206" s="586"/>
      <c r="S206" s="421"/>
      <c r="X206" s="392"/>
      <c r="Y206" s="392"/>
      <c r="Z206" s="392"/>
      <c r="AA206" s="392"/>
      <c r="AB206" s="392"/>
      <c r="AC206" s="392"/>
      <c r="AD206" s="392"/>
      <c r="AE206" s="392"/>
      <c r="AF206" s="392"/>
    </row>
    <row r="207" spans="1:34" s="595" customFormat="1" ht="18" x14ac:dyDescent="0.35">
      <c r="A207" s="587" t="s">
        <v>1015</v>
      </c>
      <c r="B207" s="588"/>
      <c r="C207" s="589"/>
      <c r="D207" s="590"/>
      <c r="E207" s="591"/>
      <c r="F207" s="591"/>
      <c r="G207" s="590"/>
      <c r="H207" s="592"/>
      <c r="I207" s="593" t="s">
        <v>1016</v>
      </c>
      <c r="J207" s="594"/>
      <c r="O207" s="596"/>
      <c r="P207" s="596"/>
      <c r="T207" s="597"/>
      <c r="U207" s="598"/>
      <c r="V207" s="392"/>
      <c r="W207" s="392"/>
      <c r="X207" s="392"/>
      <c r="Y207" s="392"/>
      <c r="Z207" s="392"/>
      <c r="AA207" s="392"/>
      <c r="AB207" s="392"/>
      <c r="AC207" s="392"/>
      <c r="AD207" s="392"/>
      <c r="AE207" s="392"/>
      <c r="AF207" s="392"/>
      <c r="AG207" s="599"/>
      <c r="AH207" s="599"/>
    </row>
    <row r="208" spans="1:34" x14ac:dyDescent="0.25">
      <c r="O208" s="165"/>
      <c r="P208" s="165"/>
      <c r="T208" s="165"/>
      <c r="U208" s="165"/>
      <c r="V208" s="165"/>
      <c r="W208" s="165"/>
      <c r="X208" s="165"/>
      <c r="Y208" s="392"/>
      <c r="Z208" s="392"/>
      <c r="AA208" s="392"/>
      <c r="AB208" s="392"/>
      <c r="AC208" s="392"/>
      <c r="AD208" s="392"/>
      <c r="AE208" s="392"/>
      <c r="AF208" s="392"/>
    </row>
    <row r="209" spans="1:34" x14ac:dyDescent="0.25">
      <c r="O209" s="165"/>
      <c r="P209" s="165"/>
      <c r="T209" s="165"/>
      <c r="U209" s="165"/>
      <c r="V209" s="165"/>
      <c r="W209" s="165"/>
      <c r="X209" s="165"/>
      <c r="Y209" s="559"/>
      <c r="Z209" s="559"/>
      <c r="AA209" s="559"/>
      <c r="AB209" s="559"/>
      <c r="AC209" s="559"/>
      <c r="AD209" s="559"/>
      <c r="AE209" s="559"/>
      <c r="AF209" s="559"/>
    </row>
    <row r="210" spans="1:34" s="601" customFormat="1" x14ac:dyDescent="0.25">
      <c r="A210" s="600"/>
      <c r="C210" s="165"/>
      <c r="E210" s="602"/>
      <c r="F210" s="603"/>
      <c r="H210" s="180"/>
      <c r="I210" s="181"/>
      <c r="J210" s="180"/>
      <c r="K210" s="604"/>
      <c r="Y210" s="559"/>
      <c r="Z210" s="559"/>
      <c r="AA210" s="559"/>
      <c r="AB210" s="559"/>
      <c r="AC210" s="559"/>
      <c r="AD210" s="559"/>
      <c r="AE210" s="559"/>
      <c r="AF210" s="559"/>
      <c r="AG210" s="606"/>
      <c r="AH210" s="606"/>
    </row>
    <row r="211" spans="1:34" s="601" customFormat="1" x14ac:dyDescent="0.25">
      <c r="A211" s="600"/>
      <c r="C211" s="165"/>
      <c r="E211" s="602"/>
      <c r="F211" s="603"/>
      <c r="H211" s="180"/>
      <c r="I211" s="181"/>
      <c r="J211" s="180"/>
      <c r="K211" s="604"/>
      <c r="Y211" s="559"/>
      <c r="Z211" s="559"/>
      <c r="AA211" s="559"/>
      <c r="AB211" s="559"/>
      <c r="AC211" s="559"/>
      <c r="AD211" s="559"/>
      <c r="AE211" s="559"/>
      <c r="AF211" s="559"/>
      <c r="AG211" s="606"/>
      <c r="AH211" s="606"/>
    </row>
    <row r="212" spans="1:34" s="601" customFormat="1" x14ac:dyDescent="0.25">
      <c r="A212" s="600"/>
      <c r="C212" s="165"/>
      <c r="E212" s="602"/>
      <c r="F212" s="603"/>
      <c r="H212" s="180"/>
      <c r="I212" s="181"/>
      <c r="J212" s="180"/>
      <c r="K212" s="604"/>
      <c r="Y212" s="559"/>
      <c r="Z212" s="559"/>
      <c r="AA212" s="559"/>
      <c r="AB212" s="559"/>
      <c r="AC212" s="559"/>
      <c r="AD212" s="559"/>
      <c r="AE212" s="559"/>
      <c r="AF212" s="559"/>
      <c r="AG212" s="606"/>
      <c r="AH212" s="606"/>
    </row>
    <row r="213" spans="1:34" s="601" customFormat="1" x14ac:dyDescent="0.25">
      <c r="A213" s="600"/>
      <c r="C213" s="165"/>
      <c r="E213" s="602"/>
      <c r="F213" s="603"/>
      <c r="H213" s="180"/>
      <c r="I213" s="181"/>
      <c r="J213" s="180"/>
      <c r="K213" s="604"/>
      <c r="O213" s="182"/>
      <c r="P213" s="183"/>
      <c r="Q213" s="165"/>
      <c r="T213" s="184"/>
      <c r="U213" s="185"/>
      <c r="V213" s="392"/>
      <c r="W213" s="392"/>
      <c r="X213" s="392"/>
      <c r="Y213" s="392"/>
      <c r="Z213" s="392"/>
      <c r="AA213" s="392"/>
      <c r="AB213" s="392"/>
      <c r="AC213" s="392"/>
      <c r="AD213" s="392"/>
      <c r="AE213" s="392"/>
      <c r="AF213" s="392"/>
      <c r="AG213" s="606"/>
      <c r="AH213" s="606"/>
    </row>
    <row r="214" spans="1:34" s="601" customFormat="1" x14ac:dyDescent="0.25">
      <c r="A214" s="600"/>
      <c r="C214" s="165"/>
      <c r="E214" s="602"/>
      <c r="F214" s="603"/>
      <c r="H214" s="180"/>
      <c r="I214" s="181"/>
      <c r="J214" s="180"/>
      <c r="K214" s="604"/>
      <c r="O214" s="182"/>
      <c r="P214" s="183"/>
      <c r="Q214" s="165"/>
      <c r="T214" s="184"/>
      <c r="U214" s="185"/>
      <c r="V214" s="392"/>
      <c r="W214" s="392"/>
      <c r="X214" s="392"/>
      <c r="Y214" s="392"/>
      <c r="Z214" s="392"/>
      <c r="AA214" s="392"/>
      <c r="AB214" s="392"/>
      <c r="AC214" s="392"/>
      <c r="AD214" s="392"/>
      <c r="AE214" s="392"/>
      <c r="AF214" s="392"/>
      <c r="AG214" s="606"/>
      <c r="AH214" s="606"/>
    </row>
    <row r="215" spans="1:34" s="601" customFormat="1" x14ac:dyDescent="0.25">
      <c r="A215" s="600"/>
      <c r="C215" s="165"/>
      <c r="E215" s="602"/>
      <c r="F215" s="603"/>
      <c r="H215" s="180"/>
      <c r="I215" s="181"/>
      <c r="J215" s="180"/>
      <c r="K215" s="604"/>
      <c r="O215" s="182"/>
      <c r="P215" s="183"/>
      <c r="Q215" s="165"/>
      <c r="T215" s="184"/>
      <c r="U215" s="185"/>
      <c r="V215" s="392"/>
      <c r="W215" s="392"/>
      <c r="X215" s="392"/>
      <c r="Y215" s="392"/>
      <c r="Z215" s="392"/>
      <c r="AA215" s="392"/>
      <c r="AB215" s="392"/>
      <c r="AC215" s="392"/>
      <c r="AD215" s="392"/>
      <c r="AE215" s="392"/>
      <c r="AF215" s="392"/>
      <c r="AG215" s="606"/>
      <c r="AH215" s="606"/>
    </row>
    <row r="216" spans="1:34" s="601" customFormat="1" x14ac:dyDescent="0.25">
      <c r="A216" s="600"/>
      <c r="C216" s="165"/>
      <c r="E216" s="602"/>
      <c r="F216" s="603"/>
      <c r="H216" s="180"/>
      <c r="I216" s="181"/>
      <c r="J216" s="180"/>
      <c r="K216" s="604"/>
      <c r="O216" s="182"/>
      <c r="P216" s="183"/>
      <c r="Q216" s="165"/>
      <c r="T216" s="607"/>
      <c r="U216" s="608"/>
      <c r="V216" s="392"/>
      <c r="W216" s="392"/>
      <c r="X216" s="392"/>
      <c r="Y216" s="392"/>
      <c r="Z216" s="392"/>
      <c r="AA216" s="392"/>
      <c r="AB216" s="392"/>
      <c r="AC216" s="392"/>
      <c r="AD216" s="392"/>
      <c r="AE216" s="392"/>
      <c r="AF216" s="392"/>
      <c r="AG216" s="606"/>
      <c r="AH216" s="606"/>
    </row>
    <row r="217" spans="1:34" s="601" customFormat="1" x14ac:dyDescent="0.25">
      <c r="A217" s="600"/>
      <c r="C217" s="165"/>
      <c r="E217" s="602"/>
      <c r="F217" s="603"/>
      <c r="H217" s="180"/>
      <c r="I217" s="181"/>
      <c r="J217" s="180"/>
      <c r="K217" s="604"/>
      <c r="O217" s="182"/>
      <c r="P217" s="183"/>
      <c r="Q217" s="165"/>
      <c r="T217" s="607"/>
      <c r="U217" s="608"/>
      <c r="V217" s="392"/>
      <c r="W217" s="392"/>
      <c r="X217" s="392"/>
      <c r="Y217" s="392"/>
      <c r="Z217" s="392"/>
      <c r="AA217" s="392"/>
      <c r="AB217" s="392"/>
      <c r="AC217" s="392"/>
      <c r="AD217" s="392"/>
      <c r="AE217" s="392"/>
      <c r="AF217" s="392"/>
      <c r="AG217" s="606"/>
      <c r="AH217" s="606"/>
    </row>
    <row r="218" spans="1:34" s="601" customFormat="1" x14ac:dyDescent="0.25">
      <c r="A218" s="600"/>
      <c r="C218" s="165"/>
      <c r="E218" s="602"/>
      <c r="F218" s="603"/>
      <c r="H218" s="180"/>
      <c r="I218" s="181"/>
      <c r="J218" s="180"/>
      <c r="K218" s="604"/>
      <c r="O218" s="182"/>
      <c r="P218" s="183"/>
      <c r="Q218" s="165"/>
      <c r="T218" s="184"/>
      <c r="U218" s="185"/>
      <c r="V218" s="185"/>
      <c r="W218" s="185"/>
      <c r="X218" s="605"/>
      <c r="Y218" s="605"/>
      <c r="Z218" s="605"/>
      <c r="AA218" s="605"/>
      <c r="AB218" s="605"/>
      <c r="AC218" s="605"/>
      <c r="AD218" s="605"/>
      <c r="AE218" s="185"/>
      <c r="AF218" s="185"/>
      <c r="AG218" s="606"/>
      <c r="AH218" s="606"/>
    </row>
    <row r="219" spans="1:34" s="601" customFormat="1" x14ac:dyDescent="0.25">
      <c r="A219" s="600"/>
      <c r="C219" s="165"/>
      <c r="E219" s="602"/>
      <c r="F219" s="603"/>
      <c r="H219" s="180"/>
      <c r="I219" s="181"/>
      <c r="J219" s="180"/>
      <c r="K219" s="604"/>
      <c r="O219" s="182"/>
      <c r="P219" s="183"/>
      <c r="Q219" s="165"/>
      <c r="T219" s="184"/>
      <c r="U219" s="185"/>
      <c r="V219" s="185"/>
      <c r="W219" s="185"/>
      <c r="X219" s="605"/>
      <c r="Y219" s="605"/>
      <c r="Z219" s="605"/>
      <c r="AA219" s="605"/>
      <c r="AB219" s="605"/>
      <c r="AC219" s="605"/>
      <c r="AD219" s="605"/>
      <c r="AE219" s="185"/>
      <c r="AF219" s="185"/>
      <c r="AG219" s="606"/>
      <c r="AH219" s="606"/>
    </row>
    <row r="220" spans="1:34" s="601" customFormat="1" x14ac:dyDescent="0.25">
      <c r="A220" s="600"/>
      <c r="C220" s="165"/>
      <c r="E220" s="602"/>
      <c r="F220" s="603"/>
      <c r="H220" s="180"/>
      <c r="I220" s="181"/>
      <c r="J220" s="180"/>
      <c r="K220" s="604"/>
      <c r="O220" s="182"/>
      <c r="P220" s="183"/>
      <c r="Q220" s="165"/>
      <c r="T220" s="184"/>
      <c r="U220" s="185"/>
      <c r="V220" s="185"/>
      <c r="W220" s="185"/>
      <c r="X220" s="605"/>
      <c r="Y220" s="605"/>
      <c r="Z220" s="605"/>
      <c r="AA220" s="605"/>
      <c r="AB220" s="605"/>
      <c r="AC220" s="605"/>
      <c r="AD220" s="605"/>
      <c r="AE220" s="185"/>
      <c r="AF220" s="185"/>
      <c r="AG220" s="606"/>
      <c r="AH220" s="606"/>
    </row>
    <row r="221" spans="1:34" s="601" customFormat="1" x14ac:dyDescent="0.25">
      <c r="A221" s="600"/>
      <c r="C221" s="165"/>
      <c r="E221" s="602"/>
      <c r="F221" s="603"/>
      <c r="H221" s="180"/>
      <c r="I221" s="181"/>
      <c r="J221" s="180"/>
      <c r="K221" s="604"/>
      <c r="O221" s="182"/>
      <c r="P221" s="183"/>
      <c r="Q221" s="165"/>
      <c r="T221" s="184"/>
      <c r="U221" s="185"/>
      <c r="V221" s="185"/>
      <c r="W221" s="185"/>
      <c r="X221" s="605"/>
      <c r="Y221" s="605"/>
      <c r="Z221" s="605"/>
      <c r="AA221" s="605"/>
      <c r="AB221" s="605"/>
      <c r="AC221" s="605"/>
      <c r="AD221" s="605"/>
      <c r="AE221" s="185"/>
      <c r="AF221" s="185"/>
      <c r="AG221" s="606"/>
      <c r="AH221" s="606"/>
    </row>
    <row r="222" spans="1:34" s="601" customFormat="1" x14ac:dyDescent="0.25">
      <c r="A222" s="600"/>
      <c r="C222" s="165"/>
      <c r="E222" s="602"/>
      <c r="F222" s="603"/>
      <c r="H222" s="180"/>
      <c r="I222" s="181"/>
      <c r="J222" s="180"/>
      <c r="K222" s="604"/>
      <c r="O222" s="182"/>
      <c r="P222" s="183"/>
      <c r="Q222" s="165"/>
      <c r="T222" s="184"/>
      <c r="U222" s="185"/>
      <c r="V222" s="185"/>
      <c r="W222" s="185"/>
      <c r="X222" s="605"/>
      <c r="Y222" s="605"/>
      <c r="Z222" s="605"/>
      <c r="AA222" s="605"/>
      <c r="AB222" s="605"/>
      <c r="AC222" s="605"/>
      <c r="AD222" s="605"/>
      <c r="AE222" s="185"/>
      <c r="AF222" s="185"/>
      <c r="AG222" s="606"/>
      <c r="AH222" s="606"/>
    </row>
    <row r="223" spans="1:34" s="601" customFormat="1" x14ac:dyDescent="0.25">
      <c r="A223" s="600"/>
      <c r="C223" s="165"/>
      <c r="E223" s="602"/>
      <c r="F223" s="603"/>
      <c r="H223" s="180"/>
      <c r="I223" s="181"/>
      <c r="J223" s="180"/>
      <c r="K223" s="604"/>
      <c r="O223" s="182"/>
      <c r="P223" s="183"/>
      <c r="Q223" s="165"/>
      <c r="T223" s="184"/>
      <c r="U223" s="185"/>
      <c r="V223" s="185"/>
      <c r="W223" s="185"/>
      <c r="X223" s="605"/>
      <c r="Y223" s="605"/>
      <c r="Z223" s="605"/>
      <c r="AA223" s="605"/>
      <c r="AB223" s="605"/>
      <c r="AC223" s="605"/>
      <c r="AD223" s="605"/>
      <c r="AE223" s="185"/>
      <c r="AF223" s="185"/>
      <c r="AG223" s="606"/>
      <c r="AH223" s="606"/>
    </row>
    <row r="224" spans="1:34" s="601" customFormat="1" x14ac:dyDescent="0.25">
      <c r="A224" s="600"/>
      <c r="C224" s="165"/>
      <c r="E224" s="602"/>
      <c r="F224" s="603"/>
      <c r="H224" s="180"/>
      <c r="I224" s="181"/>
      <c r="J224" s="180"/>
      <c r="K224" s="604"/>
      <c r="O224" s="182"/>
      <c r="P224" s="183"/>
      <c r="Q224" s="165"/>
      <c r="T224" s="184"/>
      <c r="U224" s="185"/>
      <c r="V224" s="185"/>
      <c r="W224" s="185"/>
      <c r="X224" s="605"/>
      <c r="Y224" s="605"/>
      <c r="Z224" s="605"/>
      <c r="AA224" s="605"/>
      <c r="AB224" s="605"/>
      <c r="AC224" s="605"/>
      <c r="AD224" s="605"/>
      <c r="AE224" s="185"/>
      <c r="AF224" s="185"/>
      <c r="AG224" s="606"/>
      <c r="AH224" s="606"/>
    </row>
    <row r="225" spans="1:34" s="601" customFormat="1" x14ac:dyDescent="0.25">
      <c r="A225" s="600"/>
      <c r="C225" s="165"/>
      <c r="E225" s="602"/>
      <c r="F225" s="603"/>
      <c r="H225" s="180"/>
      <c r="I225" s="181"/>
      <c r="J225" s="180"/>
      <c r="K225" s="604"/>
      <c r="O225" s="182"/>
      <c r="P225" s="183"/>
      <c r="Q225" s="165"/>
      <c r="T225" s="184"/>
      <c r="U225" s="185"/>
      <c r="V225" s="185"/>
      <c r="W225" s="185"/>
      <c r="X225" s="605"/>
      <c r="Y225" s="605"/>
      <c r="Z225" s="605"/>
      <c r="AA225" s="605"/>
      <c r="AB225" s="605"/>
      <c r="AC225" s="605"/>
      <c r="AD225" s="605"/>
      <c r="AE225" s="185"/>
      <c r="AF225" s="185"/>
      <c r="AG225" s="606"/>
      <c r="AH225" s="606"/>
    </row>
    <row r="226" spans="1:34" s="601" customFormat="1" x14ac:dyDescent="0.25">
      <c r="A226" s="600"/>
      <c r="C226" s="165"/>
      <c r="E226" s="602"/>
      <c r="F226" s="603"/>
      <c r="H226" s="180"/>
      <c r="I226" s="181"/>
      <c r="J226" s="180"/>
      <c r="K226" s="604"/>
      <c r="O226" s="182"/>
      <c r="P226" s="183"/>
      <c r="Q226" s="165"/>
      <c r="T226" s="184"/>
      <c r="U226" s="185"/>
      <c r="V226" s="185"/>
      <c r="W226" s="185"/>
      <c r="X226" s="605"/>
      <c r="Y226" s="605"/>
      <c r="Z226" s="605"/>
      <c r="AA226" s="605"/>
      <c r="AB226" s="605"/>
      <c r="AC226" s="605"/>
      <c r="AD226" s="605"/>
      <c r="AE226" s="185"/>
      <c r="AF226" s="185"/>
      <c r="AG226" s="606"/>
      <c r="AH226" s="606"/>
    </row>
    <row r="227" spans="1:34" s="601" customFormat="1" x14ac:dyDescent="0.25">
      <c r="A227" s="600"/>
      <c r="C227" s="165"/>
      <c r="E227" s="602"/>
      <c r="F227" s="603"/>
      <c r="H227" s="180"/>
      <c r="I227" s="181"/>
      <c r="J227" s="180"/>
      <c r="K227" s="604"/>
      <c r="O227" s="182"/>
      <c r="P227" s="183"/>
      <c r="Q227" s="165"/>
      <c r="T227" s="184"/>
      <c r="U227" s="185"/>
      <c r="V227" s="185"/>
      <c r="W227" s="185"/>
      <c r="X227" s="605"/>
      <c r="Y227" s="605"/>
      <c r="Z227" s="605"/>
      <c r="AA227" s="605"/>
      <c r="AB227" s="605"/>
      <c r="AC227" s="605"/>
      <c r="AD227" s="605"/>
      <c r="AE227" s="185"/>
      <c r="AF227" s="185"/>
      <c r="AG227" s="606"/>
      <c r="AH227" s="606"/>
    </row>
    <row r="228" spans="1:34" s="601" customFormat="1" x14ac:dyDescent="0.25">
      <c r="A228" s="600"/>
      <c r="C228" s="165"/>
      <c r="E228" s="602"/>
      <c r="F228" s="603"/>
      <c r="H228" s="180"/>
      <c r="I228" s="181"/>
      <c r="J228" s="180"/>
      <c r="K228" s="604"/>
      <c r="O228" s="182"/>
      <c r="P228" s="183"/>
      <c r="Q228" s="165"/>
      <c r="T228" s="184"/>
      <c r="U228" s="185"/>
      <c r="V228" s="185"/>
      <c r="W228" s="185"/>
      <c r="X228" s="605"/>
      <c r="Y228" s="605"/>
      <c r="Z228" s="605"/>
      <c r="AA228" s="605"/>
      <c r="AB228" s="605"/>
      <c r="AC228" s="605"/>
      <c r="AD228" s="605"/>
      <c r="AE228" s="185"/>
      <c r="AF228" s="185"/>
      <c r="AG228" s="606"/>
      <c r="AH228" s="606"/>
    </row>
    <row r="229" spans="1:34" s="601" customFormat="1" x14ac:dyDescent="0.25">
      <c r="A229" s="600"/>
      <c r="C229" s="165"/>
      <c r="E229" s="602"/>
      <c r="F229" s="603"/>
      <c r="H229" s="180"/>
      <c r="I229" s="181"/>
      <c r="J229" s="180"/>
      <c r="K229" s="604"/>
      <c r="O229" s="182"/>
      <c r="P229" s="183"/>
      <c r="Q229" s="165"/>
      <c r="T229" s="184"/>
      <c r="U229" s="185"/>
      <c r="V229" s="185"/>
      <c r="W229" s="185"/>
      <c r="X229" s="605"/>
      <c r="Y229" s="605"/>
      <c r="Z229" s="605"/>
      <c r="AA229" s="605"/>
      <c r="AB229" s="605"/>
      <c r="AC229" s="605"/>
      <c r="AD229" s="605"/>
      <c r="AE229" s="185"/>
      <c r="AF229" s="185"/>
      <c r="AG229" s="606"/>
      <c r="AH229" s="606"/>
    </row>
    <row r="230" spans="1:34" s="601" customFormat="1" x14ac:dyDescent="0.25">
      <c r="A230" s="600"/>
      <c r="C230" s="165"/>
      <c r="E230" s="602"/>
      <c r="F230" s="603"/>
      <c r="H230" s="180"/>
      <c r="I230" s="181"/>
      <c r="J230" s="180"/>
      <c r="K230" s="604"/>
      <c r="O230" s="182"/>
      <c r="P230" s="183"/>
      <c r="Q230" s="165"/>
      <c r="T230" s="184"/>
      <c r="U230" s="185"/>
      <c r="V230" s="185"/>
      <c r="W230" s="185"/>
      <c r="X230" s="605"/>
      <c r="Y230" s="605"/>
      <c r="Z230" s="605"/>
      <c r="AA230" s="605"/>
      <c r="AB230" s="605"/>
      <c r="AC230" s="605"/>
      <c r="AD230" s="605"/>
      <c r="AE230" s="185"/>
      <c r="AF230" s="185"/>
      <c r="AG230" s="606"/>
      <c r="AH230" s="606"/>
    </row>
    <row r="231" spans="1:34" s="601" customFormat="1" x14ac:dyDescent="0.25">
      <c r="A231" s="600"/>
      <c r="C231" s="165"/>
      <c r="E231" s="602"/>
      <c r="F231" s="603"/>
      <c r="H231" s="180"/>
      <c r="I231" s="181"/>
      <c r="J231" s="180"/>
      <c r="K231" s="604"/>
      <c r="O231" s="182"/>
      <c r="P231" s="183"/>
      <c r="Q231" s="165"/>
      <c r="T231" s="184"/>
      <c r="U231" s="185"/>
      <c r="V231" s="185"/>
      <c r="W231" s="185"/>
      <c r="X231" s="605"/>
      <c r="Y231" s="605"/>
      <c r="Z231" s="605"/>
      <c r="AA231" s="605"/>
      <c r="AB231" s="605"/>
      <c r="AC231" s="605"/>
      <c r="AD231" s="605"/>
      <c r="AE231" s="185"/>
      <c r="AF231" s="185"/>
      <c r="AG231" s="606"/>
      <c r="AH231" s="606"/>
    </row>
    <row r="232" spans="1:34" s="601" customFormat="1" x14ac:dyDescent="0.25">
      <c r="A232" s="600"/>
      <c r="C232" s="165"/>
      <c r="E232" s="602"/>
      <c r="F232" s="603"/>
      <c r="H232" s="180"/>
      <c r="I232" s="181"/>
      <c r="J232" s="180"/>
      <c r="K232" s="604"/>
      <c r="O232" s="182"/>
      <c r="P232" s="183"/>
      <c r="Q232" s="165"/>
      <c r="T232" s="184"/>
      <c r="U232" s="185"/>
      <c r="V232" s="185"/>
      <c r="W232" s="185"/>
      <c r="X232" s="605"/>
      <c r="Y232" s="605"/>
      <c r="Z232" s="605"/>
      <c r="AA232" s="605"/>
      <c r="AB232" s="605"/>
      <c r="AC232" s="605"/>
      <c r="AD232" s="605"/>
      <c r="AE232" s="185"/>
      <c r="AF232" s="185"/>
      <c r="AG232" s="606"/>
      <c r="AH232" s="606"/>
    </row>
    <row r="233" spans="1:34" s="601" customFormat="1" x14ac:dyDescent="0.25">
      <c r="A233" s="600"/>
      <c r="C233" s="165"/>
      <c r="E233" s="602"/>
      <c r="F233" s="603"/>
      <c r="H233" s="180"/>
      <c r="I233" s="181"/>
      <c r="J233" s="180"/>
      <c r="K233" s="604"/>
      <c r="O233" s="182"/>
      <c r="P233" s="183"/>
      <c r="Q233" s="165"/>
      <c r="T233" s="184"/>
      <c r="U233" s="185"/>
      <c r="V233" s="185"/>
      <c r="W233" s="185"/>
      <c r="X233" s="605"/>
      <c r="Y233" s="605"/>
      <c r="Z233" s="605"/>
      <c r="AA233" s="605"/>
      <c r="AB233" s="605"/>
      <c r="AC233" s="605"/>
      <c r="AD233" s="605"/>
      <c r="AE233" s="185"/>
      <c r="AF233" s="185"/>
      <c r="AG233" s="606"/>
      <c r="AH233" s="606"/>
    </row>
    <row r="234" spans="1:34" s="601" customFormat="1" x14ac:dyDescent="0.25">
      <c r="A234" s="600"/>
      <c r="C234" s="165"/>
      <c r="E234" s="602"/>
      <c r="F234" s="603"/>
      <c r="H234" s="180"/>
      <c r="I234" s="181"/>
      <c r="J234" s="180"/>
      <c r="K234" s="604"/>
      <c r="O234" s="182"/>
      <c r="P234" s="183"/>
      <c r="Q234" s="165"/>
      <c r="T234" s="184"/>
      <c r="U234" s="185"/>
      <c r="V234" s="185"/>
      <c r="W234" s="185"/>
      <c r="X234" s="605"/>
      <c r="Y234" s="605"/>
      <c r="Z234" s="605"/>
      <c r="AA234" s="605"/>
      <c r="AB234" s="605"/>
      <c r="AC234" s="605"/>
      <c r="AD234" s="605"/>
      <c r="AE234" s="185"/>
      <c r="AF234" s="185"/>
      <c r="AG234" s="606"/>
      <c r="AH234" s="606"/>
    </row>
    <row r="235" spans="1:34" s="601" customFormat="1" x14ac:dyDescent="0.25">
      <c r="A235" s="600"/>
      <c r="C235" s="165"/>
      <c r="E235" s="602"/>
      <c r="F235" s="603"/>
      <c r="H235" s="180"/>
      <c r="I235" s="181"/>
      <c r="J235" s="180"/>
      <c r="K235" s="604"/>
      <c r="O235" s="182"/>
      <c r="P235" s="183"/>
      <c r="Q235" s="165"/>
      <c r="T235" s="184"/>
      <c r="U235" s="185"/>
      <c r="V235" s="185"/>
      <c r="W235" s="185"/>
      <c r="X235" s="605"/>
      <c r="Y235" s="605"/>
      <c r="Z235" s="605"/>
      <c r="AA235" s="605"/>
      <c r="AB235" s="605"/>
      <c r="AC235" s="605"/>
      <c r="AD235" s="605"/>
      <c r="AE235" s="185"/>
      <c r="AF235" s="185"/>
      <c r="AG235" s="606"/>
      <c r="AH235" s="606"/>
    </row>
    <row r="236" spans="1:34" s="601" customFormat="1" x14ac:dyDescent="0.25">
      <c r="A236" s="600"/>
      <c r="C236" s="165"/>
      <c r="E236" s="602"/>
      <c r="F236" s="603"/>
      <c r="H236" s="180"/>
      <c r="I236" s="181"/>
      <c r="J236" s="180"/>
      <c r="K236" s="604"/>
      <c r="O236" s="182"/>
      <c r="P236" s="183"/>
      <c r="Q236" s="165"/>
      <c r="T236" s="184"/>
      <c r="U236" s="185"/>
      <c r="V236" s="185"/>
      <c r="W236" s="185"/>
      <c r="X236" s="605"/>
      <c r="Y236" s="605"/>
      <c r="Z236" s="605"/>
      <c r="AA236" s="605"/>
      <c r="AB236" s="605"/>
      <c r="AC236" s="605"/>
      <c r="AD236" s="605"/>
      <c r="AE236" s="185"/>
      <c r="AF236" s="185"/>
      <c r="AG236" s="606"/>
      <c r="AH236" s="606"/>
    </row>
    <row r="237" spans="1:34" s="601" customFormat="1" x14ac:dyDescent="0.25">
      <c r="A237" s="600"/>
      <c r="C237" s="165"/>
      <c r="E237" s="602"/>
      <c r="F237" s="603"/>
      <c r="H237" s="180"/>
      <c r="I237" s="181"/>
      <c r="J237" s="180"/>
      <c r="K237" s="604"/>
      <c r="O237" s="182"/>
      <c r="P237" s="183"/>
      <c r="Q237" s="165"/>
      <c r="T237" s="184"/>
      <c r="U237" s="185"/>
      <c r="V237" s="185"/>
      <c r="W237" s="185"/>
      <c r="X237" s="605"/>
      <c r="Y237" s="605"/>
      <c r="Z237" s="605"/>
      <c r="AA237" s="605"/>
      <c r="AB237" s="605"/>
      <c r="AC237" s="605"/>
      <c r="AD237" s="605"/>
      <c r="AE237" s="185"/>
      <c r="AF237" s="185"/>
      <c r="AG237" s="606"/>
      <c r="AH237" s="606"/>
    </row>
    <row r="238" spans="1:34" s="601" customFormat="1" x14ac:dyDescent="0.25">
      <c r="A238" s="600"/>
      <c r="C238" s="165"/>
      <c r="E238" s="602"/>
      <c r="F238" s="603"/>
      <c r="H238" s="180"/>
      <c r="I238" s="181"/>
      <c r="J238" s="180"/>
      <c r="K238" s="604"/>
      <c r="O238" s="182"/>
      <c r="P238" s="183"/>
      <c r="Q238" s="165"/>
      <c r="T238" s="184"/>
      <c r="U238" s="185"/>
      <c r="V238" s="185"/>
      <c r="W238" s="185"/>
      <c r="X238" s="605"/>
      <c r="Y238" s="605"/>
      <c r="Z238" s="605"/>
      <c r="AA238" s="605"/>
      <c r="AB238" s="605"/>
      <c r="AC238" s="605"/>
      <c r="AD238" s="605"/>
      <c r="AE238" s="185"/>
      <c r="AF238" s="185"/>
      <c r="AG238" s="606"/>
      <c r="AH238" s="606"/>
    </row>
    <row r="239" spans="1:34" s="601" customFormat="1" x14ac:dyDescent="0.25">
      <c r="A239" s="600"/>
      <c r="C239" s="165"/>
      <c r="E239" s="602"/>
      <c r="F239" s="603"/>
      <c r="H239" s="180"/>
      <c r="I239" s="181"/>
      <c r="J239" s="180"/>
      <c r="K239" s="604"/>
      <c r="O239" s="182"/>
      <c r="P239" s="183"/>
      <c r="Q239" s="165"/>
      <c r="T239" s="184"/>
      <c r="U239" s="185"/>
      <c r="V239" s="185"/>
      <c r="W239" s="185"/>
      <c r="X239" s="605"/>
      <c r="Y239" s="605"/>
      <c r="Z239" s="605"/>
      <c r="AA239" s="605"/>
      <c r="AB239" s="605"/>
      <c r="AC239" s="605"/>
      <c r="AD239" s="605"/>
      <c r="AE239" s="185"/>
      <c r="AF239" s="185"/>
      <c r="AG239" s="606"/>
      <c r="AH239" s="606"/>
    </row>
    <row r="240" spans="1:34" s="601" customFormat="1" x14ac:dyDescent="0.25">
      <c r="A240" s="600"/>
      <c r="C240" s="165"/>
      <c r="E240" s="602"/>
      <c r="F240" s="603"/>
      <c r="H240" s="180"/>
      <c r="I240" s="181"/>
      <c r="J240" s="180"/>
      <c r="K240" s="604"/>
      <c r="O240" s="182"/>
      <c r="P240" s="183"/>
      <c r="Q240" s="165"/>
      <c r="T240" s="184"/>
      <c r="U240" s="185"/>
      <c r="V240" s="185"/>
      <c r="W240" s="185"/>
      <c r="X240" s="605"/>
      <c r="Y240" s="605"/>
      <c r="Z240" s="605"/>
      <c r="AA240" s="605"/>
      <c r="AB240" s="605"/>
      <c r="AC240" s="605"/>
      <c r="AD240" s="605"/>
      <c r="AE240" s="185"/>
      <c r="AF240" s="185"/>
      <c r="AG240" s="606"/>
      <c r="AH240" s="606"/>
    </row>
    <row r="241" spans="1:34" s="601" customFormat="1" x14ac:dyDescent="0.25">
      <c r="A241" s="600"/>
      <c r="C241" s="165"/>
      <c r="E241" s="602"/>
      <c r="F241" s="603"/>
      <c r="H241" s="180"/>
      <c r="I241" s="181"/>
      <c r="J241" s="180"/>
      <c r="K241" s="604"/>
      <c r="O241" s="182"/>
      <c r="P241" s="183"/>
      <c r="Q241" s="165"/>
      <c r="T241" s="184"/>
      <c r="U241" s="185"/>
      <c r="V241" s="185"/>
      <c r="W241" s="185"/>
      <c r="X241" s="605"/>
      <c r="Y241" s="605"/>
      <c r="Z241" s="605"/>
      <c r="AA241" s="605"/>
      <c r="AB241" s="605"/>
      <c r="AC241" s="605"/>
      <c r="AD241" s="605"/>
      <c r="AE241" s="185"/>
      <c r="AF241" s="185"/>
      <c r="AG241" s="606"/>
      <c r="AH241" s="606"/>
    </row>
    <row r="242" spans="1:34" s="601" customFormat="1" x14ac:dyDescent="0.25">
      <c r="A242" s="600"/>
      <c r="C242" s="165"/>
      <c r="E242" s="602"/>
      <c r="F242" s="603"/>
      <c r="H242" s="180"/>
      <c r="I242" s="181"/>
      <c r="J242" s="180"/>
      <c r="K242" s="604"/>
      <c r="O242" s="182"/>
      <c r="P242" s="183"/>
      <c r="Q242" s="165"/>
      <c r="T242" s="184"/>
      <c r="U242" s="185"/>
      <c r="V242" s="185"/>
      <c r="W242" s="185"/>
      <c r="X242" s="605"/>
      <c r="Y242" s="605"/>
      <c r="Z242" s="605"/>
      <c r="AA242" s="605"/>
      <c r="AB242" s="605"/>
      <c r="AC242" s="605"/>
      <c r="AD242" s="605"/>
      <c r="AE242" s="185"/>
      <c r="AF242" s="185"/>
      <c r="AG242" s="606"/>
      <c r="AH242" s="606"/>
    </row>
    <row r="243" spans="1:34" s="601" customFormat="1" x14ac:dyDescent="0.25">
      <c r="A243" s="600"/>
      <c r="C243" s="165"/>
      <c r="E243" s="602"/>
      <c r="F243" s="603"/>
      <c r="H243" s="180"/>
      <c r="I243" s="181"/>
      <c r="J243" s="180"/>
      <c r="K243" s="604"/>
      <c r="O243" s="182"/>
      <c r="P243" s="183"/>
      <c r="Q243" s="165"/>
      <c r="T243" s="184"/>
      <c r="U243" s="185"/>
      <c r="V243" s="185"/>
      <c r="W243" s="185"/>
      <c r="X243" s="605"/>
      <c r="Y243" s="605"/>
      <c r="Z243" s="605"/>
      <c r="AA243" s="605"/>
      <c r="AB243" s="605"/>
      <c r="AC243" s="605"/>
      <c r="AD243" s="605"/>
      <c r="AE243" s="185"/>
      <c r="AF243" s="185"/>
      <c r="AG243" s="606"/>
      <c r="AH243" s="606"/>
    </row>
    <row r="244" spans="1:34" s="601" customFormat="1" x14ac:dyDescent="0.25">
      <c r="A244" s="600"/>
      <c r="C244" s="165"/>
      <c r="E244" s="602"/>
      <c r="F244" s="603"/>
      <c r="H244" s="180"/>
      <c r="I244" s="181"/>
      <c r="J244" s="180"/>
      <c r="K244" s="604"/>
      <c r="O244" s="182"/>
      <c r="P244" s="183"/>
      <c r="Q244" s="165"/>
      <c r="T244" s="184"/>
      <c r="U244" s="185"/>
      <c r="V244" s="185"/>
      <c r="W244" s="185"/>
      <c r="X244" s="605"/>
      <c r="Y244" s="605"/>
      <c r="Z244" s="605"/>
      <c r="AA244" s="605"/>
      <c r="AB244" s="605"/>
      <c r="AC244" s="605"/>
      <c r="AD244" s="605"/>
      <c r="AE244" s="185"/>
      <c r="AF244" s="185"/>
      <c r="AG244" s="606"/>
      <c r="AH244" s="606"/>
    </row>
    <row r="245" spans="1:34" s="601" customFormat="1" x14ac:dyDescent="0.25">
      <c r="A245" s="600"/>
      <c r="C245" s="165"/>
      <c r="E245" s="602"/>
      <c r="F245" s="603"/>
      <c r="H245" s="180"/>
      <c r="I245" s="181"/>
      <c r="J245" s="180"/>
      <c r="K245" s="604"/>
      <c r="O245" s="182"/>
      <c r="P245" s="183"/>
      <c r="Q245" s="165"/>
      <c r="T245" s="184"/>
      <c r="U245" s="185"/>
      <c r="V245" s="185"/>
      <c r="W245" s="185"/>
      <c r="X245" s="605"/>
      <c r="Y245" s="605"/>
      <c r="Z245" s="605"/>
      <c r="AA245" s="605"/>
      <c r="AB245" s="605"/>
      <c r="AC245" s="605"/>
      <c r="AD245" s="605"/>
      <c r="AE245" s="185"/>
      <c r="AF245" s="185"/>
      <c r="AG245" s="606"/>
      <c r="AH245" s="606"/>
    </row>
    <row r="246" spans="1:34" s="601" customFormat="1" x14ac:dyDescent="0.25">
      <c r="A246" s="600"/>
      <c r="C246" s="165"/>
      <c r="E246" s="602"/>
      <c r="F246" s="603"/>
      <c r="H246" s="180"/>
      <c r="I246" s="181"/>
      <c r="J246" s="180"/>
      <c r="K246" s="604"/>
      <c r="O246" s="182"/>
      <c r="P246" s="183"/>
      <c r="Q246" s="165"/>
      <c r="T246" s="184"/>
      <c r="U246" s="185"/>
      <c r="V246" s="185"/>
      <c r="W246" s="185"/>
      <c r="X246" s="605"/>
      <c r="Y246" s="605"/>
      <c r="Z246" s="605"/>
      <c r="AA246" s="605"/>
      <c r="AB246" s="605"/>
      <c r="AC246" s="605"/>
      <c r="AD246" s="605"/>
      <c r="AE246" s="185"/>
      <c r="AF246" s="185"/>
      <c r="AG246" s="606"/>
      <c r="AH246" s="606"/>
    </row>
    <row r="247" spans="1:34" s="601" customFormat="1" x14ac:dyDescent="0.25">
      <c r="A247" s="600"/>
      <c r="C247" s="165"/>
      <c r="E247" s="602"/>
      <c r="F247" s="603"/>
      <c r="H247" s="180"/>
      <c r="I247" s="181"/>
      <c r="J247" s="180"/>
      <c r="K247" s="604"/>
      <c r="O247" s="182"/>
      <c r="P247" s="183"/>
      <c r="Q247" s="165"/>
      <c r="T247" s="184"/>
      <c r="U247" s="185"/>
      <c r="V247" s="185"/>
      <c r="W247" s="185"/>
      <c r="X247" s="605"/>
      <c r="Y247" s="605"/>
      <c r="Z247" s="605"/>
      <c r="AA247" s="605"/>
      <c r="AB247" s="605"/>
      <c r="AC247" s="605"/>
      <c r="AD247" s="605"/>
      <c r="AE247" s="185"/>
      <c r="AF247" s="185"/>
      <c r="AG247" s="606"/>
      <c r="AH247" s="606"/>
    </row>
    <row r="248" spans="1:34" s="601" customFormat="1" x14ac:dyDescent="0.25">
      <c r="A248" s="600"/>
      <c r="C248" s="165"/>
      <c r="E248" s="602"/>
      <c r="F248" s="603"/>
      <c r="H248" s="180"/>
      <c r="I248" s="181"/>
      <c r="J248" s="180"/>
      <c r="K248" s="604"/>
      <c r="O248" s="182"/>
      <c r="P248" s="183"/>
      <c r="Q248" s="165"/>
      <c r="T248" s="184"/>
      <c r="U248" s="185"/>
      <c r="V248" s="185"/>
      <c r="W248" s="185"/>
      <c r="X248" s="605"/>
      <c r="Y248" s="605"/>
      <c r="Z248" s="605"/>
      <c r="AA248" s="605"/>
      <c r="AB248" s="605"/>
      <c r="AC248" s="605"/>
      <c r="AD248" s="605"/>
      <c r="AE248" s="185"/>
      <c r="AF248" s="185"/>
      <c r="AG248" s="606"/>
      <c r="AH248" s="606"/>
    </row>
  </sheetData>
  <mergeCells count="278">
    <mergeCell ref="I70:I71"/>
    <mergeCell ref="B72:B73"/>
    <mergeCell ref="C72:C73"/>
    <mergeCell ref="D72:D73"/>
    <mergeCell ref="F72:F73"/>
    <mergeCell ref="G72:G73"/>
    <mergeCell ref="I72:I73"/>
    <mergeCell ref="A9:B9"/>
    <mergeCell ref="B70:B71"/>
    <mergeCell ref="C70:C71"/>
    <mergeCell ref="D70:D71"/>
    <mergeCell ref="F70:F71"/>
    <mergeCell ref="G70:G71"/>
    <mergeCell ref="B76:B77"/>
    <mergeCell ref="C76:C77"/>
    <mergeCell ref="D76:D77"/>
    <mergeCell ref="F76:F77"/>
    <mergeCell ref="G76:G77"/>
    <mergeCell ref="I76:I77"/>
    <mergeCell ref="B74:B75"/>
    <mergeCell ref="C74:C75"/>
    <mergeCell ref="D74:D75"/>
    <mergeCell ref="F74:F75"/>
    <mergeCell ref="G74:G75"/>
    <mergeCell ref="I74:I75"/>
    <mergeCell ref="B80:B81"/>
    <mergeCell ref="C80:C81"/>
    <mergeCell ref="D80:D81"/>
    <mergeCell ref="F80:F81"/>
    <mergeCell ref="G80:G81"/>
    <mergeCell ref="I80:I81"/>
    <mergeCell ref="B78:B79"/>
    <mergeCell ref="C78:C79"/>
    <mergeCell ref="D78:D79"/>
    <mergeCell ref="F78:F79"/>
    <mergeCell ref="G78:G79"/>
    <mergeCell ref="I78:I79"/>
    <mergeCell ref="B84:B85"/>
    <mergeCell ref="C84:C85"/>
    <mergeCell ref="D84:D85"/>
    <mergeCell ref="F84:F85"/>
    <mergeCell ref="G84:G85"/>
    <mergeCell ref="I84:I85"/>
    <mergeCell ref="B82:B83"/>
    <mergeCell ref="C82:C83"/>
    <mergeCell ref="D82:D83"/>
    <mergeCell ref="F82:F83"/>
    <mergeCell ref="G82:G83"/>
    <mergeCell ref="I82:I83"/>
    <mergeCell ref="B88:B89"/>
    <mergeCell ref="C88:C89"/>
    <mergeCell ref="D88:D89"/>
    <mergeCell ref="F88:F89"/>
    <mergeCell ref="G88:G89"/>
    <mergeCell ref="I88:I89"/>
    <mergeCell ref="B86:B87"/>
    <mergeCell ref="C86:C87"/>
    <mergeCell ref="D86:D87"/>
    <mergeCell ref="F86:F87"/>
    <mergeCell ref="G86:G87"/>
    <mergeCell ref="I86:I87"/>
    <mergeCell ref="B92:B93"/>
    <mergeCell ref="C92:C93"/>
    <mergeCell ref="D92:D93"/>
    <mergeCell ref="F92:F93"/>
    <mergeCell ref="G92:G93"/>
    <mergeCell ref="I92:I93"/>
    <mergeCell ref="B90:B91"/>
    <mergeCell ref="C90:C91"/>
    <mergeCell ref="D90:D91"/>
    <mergeCell ref="F90:F91"/>
    <mergeCell ref="G90:G91"/>
    <mergeCell ref="I90:I91"/>
    <mergeCell ref="B96:B97"/>
    <mergeCell ref="C96:C97"/>
    <mergeCell ref="D96:D97"/>
    <mergeCell ref="F96:F97"/>
    <mergeCell ref="G96:G97"/>
    <mergeCell ref="I96:I97"/>
    <mergeCell ref="B94:B95"/>
    <mergeCell ref="C94:C95"/>
    <mergeCell ref="D94:D95"/>
    <mergeCell ref="F94:F95"/>
    <mergeCell ref="G94:G95"/>
    <mergeCell ref="I94:I95"/>
    <mergeCell ref="B100:B101"/>
    <mergeCell ref="C100:C101"/>
    <mergeCell ref="D100:D101"/>
    <mergeCell ref="F100:F101"/>
    <mergeCell ref="G100:G101"/>
    <mergeCell ref="I100:I101"/>
    <mergeCell ref="B98:B99"/>
    <mergeCell ref="C98:C99"/>
    <mergeCell ref="D98:D99"/>
    <mergeCell ref="F98:F99"/>
    <mergeCell ref="G98:G99"/>
    <mergeCell ref="I98:I99"/>
    <mergeCell ref="B104:B105"/>
    <mergeCell ref="C104:C105"/>
    <mergeCell ref="D104:D105"/>
    <mergeCell ref="F104:F105"/>
    <mergeCell ref="G104:G105"/>
    <mergeCell ref="I104:I105"/>
    <mergeCell ref="B102:B103"/>
    <mergeCell ref="C102:C103"/>
    <mergeCell ref="D102:D103"/>
    <mergeCell ref="F102:F103"/>
    <mergeCell ref="G102:G103"/>
    <mergeCell ref="I102:I103"/>
    <mergeCell ref="B108:B109"/>
    <mergeCell ref="C108:C109"/>
    <mergeCell ref="D108:D109"/>
    <mergeCell ref="F108:F109"/>
    <mergeCell ref="G108:G109"/>
    <mergeCell ref="I108:I109"/>
    <mergeCell ref="B106:B107"/>
    <mergeCell ref="C106:C107"/>
    <mergeCell ref="D106:D107"/>
    <mergeCell ref="F106:F107"/>
    <mergeCell ref="G106:G107"/>
    <mergeCell ref="I106:I107"/>
    <mergeCell ref="B112:B113"/>
    <mergeCell ref="C112:C113"/>
    <mergeCell ref="D112:D113"/>
    <mergeCell ref="F112:F113"/>
    <mergeCell ref="G112:G113"/>
    <mergeCell ref="I112:I113"/>
    <mergeCell ref="B110:B111"/>
    <mergeCell ref="C110:C111"/>
    <mergeCell ref="D110:D111"/>
    <mergeCell ref="F110:F111"/>
    <mergeCell ref="G110:G111"/>
    <mergeCell ref="I110:I111"/>
    <mergeCell ref="B116:B117"/>
    <mergeCell ref="C116:C117"/>
    <mergeCell ref="D116:D117"/>
    <mergeCell ref="F116:F117"/>
    <mergeCell ref="G116:G117"/>
    <mergeCell ref="I116:I117"/>
    <mergeCell ref="B114:B115"/>
    <mergeCell ref="C114:C115"/>
    <mergeCell ref="D114:D115"/>
    <mergeCell ref="F114:F115"/>
    <mergeCell ref="G114:G115"/>
    <mergeCell ref="I114:I115"/>
    <mergeCell ref="B120:B121"/>
    <mergeCell ref="C120:C121"/>
    <mergeCell ref="D120:D121"/>
    <mergeCell ref="F120:F121"/>
    <mergeCell ref="G120:G121"/>
    <mergeCell ref="I120:I121"/>
    <mergeCell ref="B118:B119"/>
    <mergeCell ref="C118:C119"/>
    <mergeCell ref="D118:D119"/>
    <mergeCell ref="F118:F119"/>
    <mergeCell ref="G118:G119"/>
    <mergeCell ref="I118:I119"/>
    <mergeCell ref="B124:B125"/>
    <mergeCell ref="C124:C125"/>
    <mergeCell ref="D124:D125"/>
    <mergeCell ref="F124:F125"/>
    <mergeCell ref="G124:G125"/>
    <mergeCell ref="I124:I125"/>
    <mergeCell ref="B122:B123"/>
    <mergeCell ref="C122:C123"/>
    <mergeCell ref="D122:D123"/>
    <mergeCell ref="F122:F123"/>
    <mergeCell ref="G122:G123"/>
    <mergeCell ref="I122:I123"/>
    <mergeCell ref="B128:B129"/>
    <mergeCell ref="C128:C129"/>
    <mergeCell ref="D128:D129"/>
    <mergeCell ref="F128:F129"/>
    <mergeCell ref="G128:G129"/>
    <mergeCell ref="I128:I129"/>
    <mergeCell ref="B126:B127"/>
    <mergeCell ref="C126:C127"/>
    <mergeCell ref="D126:D127"/>
    <mergeCell ref="F126:F127"/>
    <mergeCell ref="G126:G127"/>
    <mergeCell ref="I126:I127"/>
    <mergeCell ref="B132:B133"/>
    <mergeCell ref="C132:C133"/>
    <mergeCell ref="D132:D133"/>
    <mergeCell ref="F132:F133"/>
    <mergeCell ref="G132:G133"/>
    <mergeCell ref="I132:I133"/>
    <mergeCell ref="B130:B131"/>
    <mergeCell ref="C130:C131"/>
    <mergeCell ref="D130:D131"/>
    <mergeCell ref="F130:F131"/>
    <mergeCell ref="G130:G131"/>
    <mergeCell ref="I130:I131"/>
    <mergeCell ref="B136:B137"/>
    <mergeCell ref="C136:C137"/>
    <mergeCell ref="D136:D137"/>
    <mergeCell ref="F136:F137"/>
    <mergeCell ref="G136:G137"/>
    <mergeCell ref="I136:I137"/>
    <mergeCell ref="B134:B135"/>
    <mergeCell ref="C134:C135"/>
    <mergeCell ref="D134:D135"/>
    <mergeCell ref="F134:F135"/>
    <mergeCell ref="G134:G135"/>
    <mergeCell ref="I134:I135"/>
    <mergeCell ref="B140:B141"/>
    <mergeCell ref="C140:C141"/>
    <mergeCell ref="D140:D141"/>
    <mergeCell ref="F140:F141"/>
    <mergeCell ref="G140:G141"/>
    <mergeCell ref="I140:I141"/>
    <mergeCell ref="B138:B139"/>
    <mergeCell ref="C138:C139"/>
    <mergeCell ref="D138:D139"/>
    <mergeCell ref="F138:F139"/>
    <mergeCell ref="G138:G139"/>
    <mergeCell ref="I138:I139"/>
    <mergeCell ref="B144:B145"/>
    <mergeCell ref="C144:C145"/>
    <mergeCell ref="D144:D145"/>
    <mergeCell ref="F144:F145"/>
    <mergeCell ref="G144:G145"/>
    <mergeCell ref="I144:I145"/>
    <mergeCell ref="B142:B143"/>
    <mergeCell ref="C142:C143"/>
    <mergeCell ref="D142:D143"/>
    <mergeCell ref="F142:F143"/>
    <mergeCell ref="G142:G143"/>
    <mergeCell ref="I142:I143"/>
    <mergeCell ref="B148:B149"/>
    <mergeCell ref="C148:C149"/>
    <mergeCell ref="D148:D149"/>
    <mergeCell ref="F148:F149"/>
    <mergeCell ref="G148:G149"/>
    <mergeCell ref="I148:I149"/>
    <mergeCell ref="B146:B147"/>
    <mergeCell ref="C146:C147"/>
    <mergeCell ref="D146:D147"/>
    <mergeCell ref="F146:F147"/>
    <mergeCell ref="G146:G147"/>
    <mergeCell ref="I146:I147"/>
    <mergeCell ref="B152:B153"/>
    <mergeCell ref="C152:C153"/>
    <mergeCell ref="D152:D153"/>
    <mergeCell ref="F152:F153"/>
    <mergeCell ref="G152:G153"/>
    <mergeCell ref="I152:I153"/>
    <mergeCell ref="B150:B151"/>
    <mergeCell ref="C150:C151"/>
    <mergeCell ref="D150:D151"/>
    <mergeCell ref="F150:F151"/>
    <mergeCell ref="G150:G151"/>
    <mergeCell ref="I150:I151"/>
    <mergeCell ref="B156:B157"/>
    <mergeCell ref="C156:C157"/>
    <mergeCell ref="D156:D157"/>
    <mergeCell ref="F156:F157"/>
    <mergeCell ref="G156:G157"/>
    <mergeCell ref="I156:I157"/>
    <mergeCell ref="B154:B155"/>
    <mergeCell ref="C154:C155"/>
    <mergeCell ref="D154:D155"/>
    <mergeCell ref="F154:F155"/>
    <mergeCell ref="G154:G155"/>
    <mergeCell ref="I154:I155"/>
    <mergeCell ref="A178:B178"/>
    <mergeCell ref="B160:B161"/>
    <mergeCell ref="C160:C161"/>
    <mergeCell ref="D160:D161"/>
    <mergeCell ref="F160:F161"/>
    <mergeCell ref="G160:G161"/>
    <mergeCell ref="I160:I161"/>
    <mergeCell ref="B158:B159"/>
    <mergeCell ref="C158:C159"/>
    <mergeCell ref="D158:D159"/>
    <mergeCell ref="F158:F159"/>
    <mergeCell ref="G158:G159"/>
    <mergeCell ref="I158:I159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 alignWithMargins="0"/>
  <rowBreaks count="1" manualBreakCount="1">
    <brk id="37" max="10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2023.gada budzets</vt:lpstr>
      <vt:lpstr>4.piel_Saistibas</vt:lpstr>
      <vt:lpstr>'2023.gada budzets'!Print_Area</vt:lpstr>
      <vt:lpstr>'4.piel_Saistibas'!Print_Area</vt:lpstr>
      <vt:lpstr>'2023.gada budzets'!Print_Titles</vt:lpstr>
      <vt:lpstr>'4.piel_Saistibas'!Print_Titles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Linda Povlovska</cp:lastModifiedBy>
  <dcterms:created xsi:type="dcterms:W3CDTF">2023-03-09T11:23:17Z</dcterms:created>
  <dcterms:modified xsi:type="dcterms:W3CDTF">2023-03-23T12:53:07Z</dcterms:modified>
</cp:coreProperties>
</file>